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750" windowWidth="11940" windowHeight="7350" activeTab="2"/>
  </bookViews>
  <sheets>
    <sheet name="Income Statement" sheetId="1" r:id="rId1"/>
    <sheet name="Footnotes" sheetId="2" r:id="rId2"/>
    <sheet name="Admin Cal" sheetId="3" r:id="rId3"/>
  </sheets>
  <definedNames>
    <definedName name="_xlnm.Print_Area" localSheetId="2">'Admin Cal'!$A$1:$H$49</definedName>
    <definedName name="_xlnm.Print_Area" localSheetId="1">'Footnotes'!$A$1:$N$122</definedName>
    <definedName name="_xlnm.Print_Area" localSheetId="0">'Income Statement'!$B$1:$P$88</definedName>
    <definedName name="_xlnm.Print_Titles" localSheetId="0">'Income Statement'!$1:$8</definedName>
  </definedNames>
  <calcPr fullCalcOnLoad="1"/>
</workbook>
</file>

<file path=xl/comments1.xml><?xml version="1.0" encoding="utf-8"?>
<comments xmlns="http://schemas.openxmlformats.org/spreadsheetml/2006/main">
  <authors>
    <author>Information Technology Service Unit</author>
  </authors>
  <commentList>
    <comment ref="B38" authorId="0">
      <text>
        <r>
          <rPr>
            <b/>
            <sz val="8"/>
            <rFont val="Tahoma"/>
            <family val="0"/>
          </rPr>
          <t>Information Technology Service Unit:</t>
        </r>
        <r>
          <rPr>
            <sz val="8"/>
            <rFont val="Tahoma"/>
            <family val="0"/>
          </rPr>
          <t xml:space="preserve">
includes investment income + interest/dividends</t>
        </r>
      </text>
    </comment>
    <comment ref="B54" authorId="0">
      <text>
        <r>
          <rPr>
            <b/>
            <sz val="8"/>
            <rFont val="Tahoma"/>
            <family val="0"/>
          </rPr>
          <t>Information Technology Service Unit:</t>
        </r>
        <r>
          <rPr>
            <sz val="8"/>
            <rFont val="Tahoma"/>
            <family val="0"/>
          </rPr>
          <t xml:space="preserve">
includes Tax Refund</t>
        </r>
      </text>
    </comment>
  </commentList>
</comments>
</file>

<file path=xl/sharedStrings.xml><?xml version="1.0" encoding="utf-8"?>
<sst xmlns="http://schemas.openxmlformats.org/spreadsheetml/2006/main" count="247" uniqueCount="202">
  <si>
    <t>City of Ann Arbor</t>
  </si>
  <si>
    <t>Administrative Expenses</t>
  </si>
  <si>
    <t>Bond Proceeds</t>
  </si>
  <si>
    <t>Grant Funding</t>
  </si>
  <si>
    <t>Other Municipal Matching</t>
  </si>
  <si>
    <t>Proceeds Available for Purchases</t>
  </si>
  <si>
    <t>Impact of Inflation on Purchasing Power</t>
  </si>
  <si>
    <t>REVENUE</t>
  </si>
  <si>
    <t>EXPENSES</t>
  </si>
  <si>
    <t>CASH FOR PURCHASES</t>
  </si>
  <si>
    <t>SCENARIO #1 -- BOND FOR $20 MIL.</t>
  </si>
  <si>
    <t>Levy Proceeds available after Debt Service</t>
  </si>
  <si>
    <t xml:space="preserve">  Total Expenditures</t>
  </si>
  <si>
    <t xml:space="preserve">  Proceeds Available for Purchases</t>
  </si>
  <si>
    <t xml:space="preserve">  Total Revenues</t>
  </si>
  <si>
    <t xml:space="preserve">  Purchasing Power Available for Acquisitions</t>
  </si>
  <si>
    <t>FY 2004/05</t>
  </si>
  <si>
    <t>FY 2005/06</t>
  </si>
  <si>
    <t>Bond/Note Proceeds</t>
  </si>
  <si>
    <t>Investment Income</t>
  </si>
  <si>
    <t>Contributions &amp; Memorials</t>
  </si>
  <si>
    <t>State Grants</t>
  </si>
  <si>
    <t>ADMINISTRATIVE EXPENSES</t>
  </si>
  <si>
    <t>Total Administrative Expenditures</t>
  </si>
  <si>
    <t>Millage Proceeds</t>
  </si>
  <si>
    <t>MI Farmland Alliance</t>
  </si>
  <si>
    <t>Insurance Fund</t>
  </si>
  <si>
    <t>Printing</t>
  </si>
  <si>
    <t>Materials &amp; Supplies</t>
  </si>
  <si>
    <t>Net Change In Fund Balance</t>
  </si>
  <si>
    <t>PROJECTS</t>
  </si>
  <si>
    <t>Total Project Expenditures</t>
  </si>
  <si>
    <t>TOTAL</t>
  </si>
  <si>
    <t>FY 04/05</t>
  </si>
  <si>
    <t>FY 05/06</t>
  </si>
  <si>
    <t>FY 2003/04</t>
  </si>
  <si>
    <t>Present Value (at 5% Discount Rate)</t>
  </si>
  <si>
    <r>
      <t>Greenbelt Projects</t>
    </r>
    <r>
      <rPr>
        <b/>
        <sz val="12"/>
        <rFont val="Arial"/>
        <family val="2"/>
      </rPr>
      <t xml:space="preserve"> </t>
    </r>
  </si>
  <si>
    <r>
      <t xml:space="preserve">Park Projects </t>
    </r>
    <r>
      <rPr>
        <b/>
        <vertAlign val="superscript"/>
        <sz val="12"/>
        <rFont val="Arial"/>
        <family val="2"/>
      </rPr>
      <t xml:space="preserve">  </t>
    </r>
  </si>
  <si>
    <t>Bond Issuance Costs</t>
  </si>
  <si>
    <t>Personnel - GIS Staff</t>
  </si>
  <si>
    <t>IT Fund - GIS activity</t>
  </si>
  <si>
    <t>MEMO</t>
  </si>
  <si>
    <t>The City invests the funds balance in accordance with its investment policy.  All earnings from investments are included in investment income.</t>
  </si>
  <si>
    <t>NOTES TO THE FINANCIAL STATEMENTS</t>
  </si>
  <si>
    <t>Greenbelt Projects</t>
  </si>
  <si>
    <t>ID No.</t>
  </si>
  <si>
    <t>J. Alexander - North</t>
  </si>
  <si>
    <t>J. Alexander - Webster</t>
  </si>
  <si>
    <t>2005-01</t>
  </si>
  <si>
    <t>R. Alexander</t>
  </si>
  <si>
    <t>T. Alexander</t>
  </si>
  <si>
    <t>Bloomer</t>
  </si>
  <si>
    <t>2005-12</t>
  </si>
  <si>
    <t>Braun</t>
  </si>
  <si>
    <t>Cares</t>
  </si>
  <si>
    <t>2005-14</t>
  </si>
  <si>
    <t>DeForest</t>
  </si>
  <si>
    <t>Furst</t>
  </si>
  <si>
    <t>Fishbeck-Salem</t>
  </si>
  <si>
    <t>Fishbeck-Superior</t>
  </si>
  <si>
    <t>Hellner</t>
  </si>
  <si>
    <t>Honke</t>
  </si>
  <si>
    <t>Kapp</t>
  </si>
  <si>
    <t>2005-17</t>
  </si>
  <si>
    <t>Maulbetsch</t>
  </si>
  <si>
    <t>Taylor</t>
  </si>
  <si>
    <t>2005-18</t>
  </si>
  <si>
    <t>Ziegler</t>
  </si>
  <si>
    <t>Total Greenbelt</t>
  </si>
  <si>
    <t>Park Projects</t>
  </si>
  <si>
    <t>Bandemer</t>
  </si>
  <si>
    <t>Botsford</t>
  </si>
  <si>
    <t>Brookside</t>
  </si>
  <si>
    <t>Dicken Woods</t>
  </si>
  <si>
    <t>Dolph Nature-South Addition</t>
  </si>
  <si>
    <t>Evergreen - Lots 78 &amp; 80</t>
  </si>
  <si>
    <t>Evergreen - Lot 108</t>
  </si>
  <si>
    <t>Evergreen - Lot 118</t>
  </si>
  <si>
    <t>Evergreen - Lot 120</t>
  </si>
  <si>
    <t>2005-03</t>
  </si>
  <si>
    <t>Gable</t>
  </si>
  <si>
    <t>2005-04</t>
  </si>
  <si>
    <t>Hansen</t>
  </si>
  <si>
    <t>2004-07</t>
  </si>
  <si>
    <t>Haven</t>
  </si>
  <si>
    <t>2005-05</t>
  </si>
  <si>
    <t>Hilton</t>
  </si>
  <si>
    <t>2005-06</t>
  </si>
  <si>
    <t>Ma</t>
  </si>
  <si>
    <t>Narrow Guage</t>
  </si>
  <si>
    <t>Norfolk Southern</t>
  </si>
  <si>
    <t>2005-08</t>
  </si>
  <si>
    <t>Onder</t>
  </si>
  <si>
    <t>South Pond</t>
  </si>
  <si>
    <t>Stapp Nature Area</t>
  </si>
  <si>
    <t>Sunset Woods</t>
  </si>
  <si>
    <t>Traver Woods</t>
  </si>
  <si>
    <t>Ward Park</t>
  </si>
  <si>
    <t>Capstone Re</t>
  </si>
  <si>
    <t>Tax Refund</t>
  </si>
  <si>
    <t>Total Parks</t>
  </si>
  <si>
    <t>The City of Ann Arbor</t>
  </si>
  <si>
    <t>Note 1</t>
  </si>
  <si>
    <t>Note 2</t>
  </si>
  <si>
    <t>Note 3</t>
  </si>
  <si>
    <t>Gross Revenue</t>
  </si>
  <si>
    <t>Note 4</t>
  </si>
  <si>
    <t>Note 5</t>
  </si>
  <si>
    <t>The voter approved millage for Open Space and Parkland Preservation includes language to restrict the amount of funds that may be expended on administrative expenditures.  The limitation is calculated as follows:</t>
  </si>
  <si>
    <t xml:space="preserve"> </t>
  </si>
  <si>
    <t>Less: Debt Service</t>
  </si>
  <si>
    <t>Net Proceeds</t>
  </si>
  <si>
    <t>Admin Expense - Legal Limit (6%)</t>
  </si>
  <si>
    <t>Cumulative</t>
  </si>
  <si>
    <t>Contractual - Clark</t>
  </si>
  <si>
    <t>Contractual - Lonik</t>
  </si>
  <si>
    <t>Admin Expense - Operating Limit (4.8%)</t>
  </si>
  <si>
    <t>Cumulative Limit</t>
  </si>
  <si>
    <t>Annual</t>
  </si>
  <si>
    <t>Actual (Over)/Under Limit</t>
  </si>
  <si>
    <t>Cumulative Actual</t>
  </si>
  <si>
    <t>To maintain confidentiality, properties are assigned unique identification numbers during negotiations.</t>
  </si>
  <si>
    <t xml:space="preserve">- - - - - </t>
  </si>
  <si>
    <t>*  The nature of property acquisition is such that costs may be incurred prior to completion of transaction.  Therefore, compliance with administrative limits are calculated based on cumulative funding.</t>
  </si>
  <si>
    <t>Net Revenues</t>
  </si>
  <si>
    <t>Uncollectible Personal Property Taxes</t>
  </si>
  <si>
    <t xml:space="preserve">ALLOWABLE </t>
  </si>
  <si>
    <t xml:space="preserve">ACTUAL * </t>
  </si>
  <si>
    <t>2005-09</t>
  </si>
  <si>
    <t>2005-15</t>
  </si>
  <si>
    <t>2005-16</t>
  </si>
  <si>
    <t>2006-02</t>
  </si>
  <si>
    <t>General Expenses</t>
  </si>
  <si>
    <t>Total Conservation Fund</t>
  </si>
  <si>
    <t>Conservation Fund</t>
  </si>
  <si>
    <t>2006-03</t>
  </si>
  <si>
    <t>Federal Grants</t>
  </si>
  <si>
    <t>DEBT SERVICE</t>
  </si>
  <si>
    <t>Conservation Fund Expenditures</t>
  </si>
  <si>
    <r>
      <t xml:space="preserve">The following activities shall be considered administration expenses that may be paid for from the millage revenues.  </t>
    </r>
    <r>
      <rPr>
        <b/>
        <sz val="12"/>
        <color indexed="8"/>
        <rFont val="Arial"/>
        <family val="2"/>
      </rPr>
      <t>The administration expenditures are identified on the income statement as "Non-Transaction" in nature:</t>
    </r>
    <r>
      <rPr>
        <sz val="12"/>
        <color indexed="8"/>
        <rFont val="Arial"/>
        <family val="2"/>
      </rPr>
      <t xml:space="preserve">  </t>
    </r>
    <r>
      <rPr>
        <b/>
        <sz val="12"/>
        <color indexed="8"/>
        <rFont val="Arial"/>
        <family val="2"/>
      </rPr>
      <t>(1)</t>
    </r>
    <r>
      <rPr>
        <sz val="12"/>
        <color indexed="8"/>
        <rFont val="Arial"/>
        <family val="2"/>
      </rPr>
      <t xml:space="preserve"> Staff or consultant time, including benefits, devoted directly to the acquisition process, </t>
    </r>
    <r>
      <rPr>
        <b/>
        <sz val="12"/>
        <color indexed="8"/>
        <rFont val="Arial"/>
        <family val="2"/>
      </rPr>
      <t>(2)</t>
    </r>
    <r>
      <rPr>
        <sz val="12"/>
        <color indexed="8"/>
        <rFont val="Arial"/>
        <family val="2"/>
      </rPr>
      <t xml:space="preserve"> Staff or consultant time, including benefits, devoted directly to program support, </t>
    </r>
    <r>
      <rPr>
        <b/>
        <sz val="12"/>
        <color indexed="8"/>
        <rFont val="Arial"/>
        <family val="2"/>
      </rPr>
      <t>(3)</t>
    </r>
    <r>
      <rPr>
        <sz val="12"/>
        <color indexed="8"/>
        <rFont val="Arial"/>
        <family val="2"/>
      </rPr>
      <t xml:space="preserve"> Travel/vehicle cost incurred, </t>
    </r>
    <r>
      <rPr>
        <b/>
        <sz val="12"/>
        <color indexed="8"/>
        <rFont val="Arial"/>
        <family val="2"/>
      </rPr>
      <t>(4)</t>
    </r>
    <r>
      <rPr>
        <sz val="12"/>
        <color indexed="8"/>
        <rFont val="Arial"/>
        <family val="2"/>
      </rPr>
      <t xml:space="preserve"> Administrative expenses directly attributable to program support or the acquisition process, </t>
    </r>
    <r>
      <rPr>
        <b/>
        <sz val="12"/>
        <color indexed="8"/>
        <rFont val="Arial"/>
        <family val="2"/>
      </rPr>
      <t>(5)</t>
    </r>
    <r>
      <rPr>
        <sz val="12"/>
        <color indexed="8"/>
        <rFont val="Arial"/>
        <family val="2"/>
      </rPr>
      <t xml:space="preserve"> Monitoring of acquired development rights and/or conservation easements, </t>
    </r>
    <r>
      <rPr>
        <b/>
        <sz val="12"/>
        <color indexed="8"/>
        <rFont val="Arial"/>
        <family val="2"/>
      </rPr>
      <t>(6)</t>
    </r>
    <r>
      <rPr>
        <sz val="12"/>
        <color indexed="8"/>
        <rFont val="Arial"/>
        <family val="2"/>
      </rPr>
      <t xml:space="preserve"> Enforcement of acquired development rights and/or conservation easements, </t>
    </r>
    <r>
      <rPr>
        <b/>
        <sz val="12"/>
        <color indexed="8"/>
        <rFont val="Arial"/>
        <family val="2"/>
      </rPr>
      <t>(7)</t>
    </r>
    <r>
      <rPr>
        <sz val="12"/>
        <color indexed="8"/>
        <rFont val="Arial"/>
        <family val="2"/>
      </rPr>
      <t xml:space="preserve"> Legal expenses directly related to the acquisition of or leasing of property or property interests, including staff or outside counsel time.</t>
    </r>
  </si>
  <si>
    <t>Advertising</t>
  </si>
  <si>
    <r>
      <t xml:space="preserve">The actual cost of property or property interests, or the actual cost of lease or leasehold interests, plus charges for the items on the list to follow, can be paid from millage revenues, but are not considered administrative expenses and are not subject to the limits on the appropriation of administrative expenses.  </t>
    </r>
    <r>
      <rPr>
        <b/>
        <sz val="12"/>
        <color indexed="8"/>
        <rFont val="Arial"/>
        <family val="2"/>
      </rPr>
      <t>The expenditures listed below are identified on the income statement as "Transaction" in nature:</t>
    </r>
    <r>
      <rPr>
        <sz val="12"/>
        <color indexed="8"/>
        <rFont val="Arial"/>
        <family val="2"/>
      </rPr>
      <t xml:space="preserve">  </t>
    </r>
    <r>
      <rPr>
        <b/>
        <sz val="12"/>
        <color indexed="8"/>
        <rFont val="Arial"/>
        <family val="2"/>
      </rPr>
      <t>(1)</t>
    </r>
    <r>
      <rPr>
        <sz val="12"/>
        <color indexed="8"/>
        <rFont val="Arial"/>
        <family val="2"/>
      </rPr>
      <t xml:space="preserve"> Title commitments, </t>
    </r>
    <r>
      <rPr>
        <b/>
        <sz val="12"/>
        <color indexed="8"/>
        <rFont val="Arial"/>
        <family val="2"/>
      </rPr>
      <t>(2)</t>
    </r>
    <r>
      <rPr>
        <sz val="12"/>
        <color indexed="8"/>
        <rFont val="Arial"/>
        <family val="2"/>
      </rPr>
      <t xml:space="preserve"> Payment of property taxes on acquired or leased property, </t>
    </r>
    <r>
      <rPr>
        <b/>
        <sz val="12"/>
        <color indexed="8"/>
        <rFont val="Arial"/>
        <family val="2"/>
      </rPr>
      <t>(3)</t>
    </r>
    <r>
      <rPr>
        <sz val="12"/>
        <color indexed="8"/>
        <rFont val="Arial"/>
        <family val="2"/>
      </rPr>
      <t xml:space="preserve"> Preparation of appraisals of property, </t>
    </r>
    <r>
      <rPr>
        <b/>
        <sz val="12"/>
        <color indexed="8"/>
        <rFont val="Arial"/>
        <family val="2"/>
      </rPr>
      <t>(4)</t>
    </r>
    <r>
      <rPr>
        <sz val="12"/>
        <color indexed="8"/>
        <rFont val="Arial"/>
        <family val="2"/>
      </rPr>
      <t xml:space="preserve"> Preparation of surveys of property, </t>
    </r>
    <r>
      <rPr>
        <b/>
        <sz val="12"/>
        <color indexed="8"/>
        <rFont val="Arial"/>
        <family val="2"/>
      </rPr>
      <t>(5)</t>
    </r>
    <r>
      <rPr>
        <sz val="12"/>
        <color indexed="8"/>
        <rFont val="Arial"/>
        <family val="2"/>
      </rPr>
      <t xml:space="preserve"> Preparation of Phase 1 Environmental Assessments of property, as well as subsequent Phases/baseline environmental studies and any related due care plan, if required, </t>
    </r>
    <r>
      <rPr>
        <b/>
        <sz val="12"/>
        <color indexed="8"/>
        <rFont val="Arial"/>
        <family val="2"/>
      </rPr>
      <t>(6)</t>
    </r>
    <r>
      <rPr>
        <sz val="12"/>
        <color indexed="8"/>
        <rFont val="Arial"/>
        <family val="2"/>
      </rPr>
      <t xml:space="preserve"> Baseline documentation for development rights and/or conservation easements, and </t>
    </r>
    <r>
      <rPr>
        <b/>
        <sz val="12"/>
        <color indexed="8"/>
        <rFont val="Arial"/>
        <family val="2"/>
      </rPr>
      <t>(7)</t>
    </r>
    <r>
      <rPr>
        <sz val="12"/>
        <color indexed="8"/>
        <rFont val="Arial"/>
        <family val="2"/>
      </rPr>
      <t xml:space="preserve"> Costs directly related to the sale of bonds supported by this millage.</t>
    </r>
  </si>
  <si>
    <t>Columbus Homes</t>
  </si>
  <si>
    <t>FY 2006/07</t>
  </si>
  <si>
    <t>FY 06/07</t>
  </si>
  <si>
    <t>Contractual - Appraisers</t>
  </si>
  <si>
    <t>Cares - Endowment</t>
  </si>
  <si>
    <t>Fishbeck - Endowments</t>
  </si>
  <si>
    <t>Bloomer - Endowment</t>
  </si>
  <si>
    <t>Andres</t>
  </si>
  <si>
    <t>2006-07</t>
  </si>
  <si>
    <t>Non-Transaction Expenses</t>
  </si>
  <si>
    <t>Transaction Expenses</t>
  </si>
  <si>
    <t>Prior Year Refund of Expenses</t>
  </si>
  <si>
    <t>Zion Lutheran</t>
  </si>
  <si>
    <t>Girl Scouts</t>
  </si>
  <si>
    <t>Caumartin &amp; Stewart</t>
  </si>
  <si>
    <t>Hamilton</t>
  </si>
  <si>
    <t>Merkel</t>
  </si>
  <si>
    <t>FY 07/08</t>
  </si>
  <si>
    <t>FY 2007/08</t>
  </si>
  <si>
    <t>For the Period Ended February 29, 2008</t>
  </si>
  <si>
    <t xml:space="preserve">Girl Scouts/Camp Hilltop </t>
  </si>
  <si>
    <t>Fox</t>
  </si>
  <si>
    <t>Narrow Gauge Way</t>
  </si>
  <si>
    <t>Crary</t>
  </si>
  <si>
    <t xml:space="preserve">John &amp; Bev Alexander </t>
  </si>
  <si>
    <t>2007-02</t>
  </si>
  <si>
    <t>2007-03</t>
  </si>
  <si>
    <t>2007-05</t>
  </si>
  <si>
    <t>Professional Services</t>
  </si>
  <si>
    <t>2007-01</t>
  </si>
  <si>
    <t xml:space="preserve">Total Fund Balance </t>
  </si>
  <si>
    <t>INCOME STATEMENT - OPEN SPACE AND PARKLAND PRESERVATION MILLAGE (DRAFT)</t>
  </si>
  <si>
    <t>+</t>
  </si>
  <si>
    <t>Millage Revenue</t>
  </si>
  <si>
    <t>Debt Service</t>
  </si>
  <si>
    <t>=</t>
  </si>
  <si>
    <t>Limit on Administrative Expenditure</t>
  </si>
  <si>
    <t>Remainder</t>
  </si>
  <si>
    <t>Six percent of bond principal</t>
  </si>
  <si>
    <t>Six percent of excess millage after debt service</t>
  </si>
  <si>
    <t>Maximum Administrative Expenditure over 30 years</t>
  </si>
  <si>
    <t>Administrative Expenditure (from income statement)</t>
  </si>
  <si>
    <t>FY 07/08 (through FY 2033)</t>
  </si>
  <si>
    <t xml:space="preserve">FY 05/06 </t>
  </si>
  <si>
    <t>Percentage</t>
  </si>
  <si>
    <t>Comparision of Administrative Expenditures to Total Expenditures</t>
  </si>
  <si>
    <t>Total Expenditures (from income statement)</t>
  </si>
  <si>
    <t>Total Administrative Expenditures (from income statement)</t>
  </si>
  <si>
    <t>2006-09</t>
  </si>
  <si>
    <t>2007-08</t>
  </si>
  <si>
    <t>*  Limit calculation (legal)</t>
  </si>
  <si>
    <t>*  Limit calculation (operating)</t>
  </si>
  <si>
    <t>4.8% percent of bond principal</t>
  </si>
  <si>
    <t>4.8% percent of excess millage after debt service</t>
  </si>
  <si>
    <t>Cumulative Legal Limit *</t>
  </si>
  <si>
    <t>Cumulative Operating Limit *</t>
  </si>
  <si>
    <t>Fund 24 Administrative Limit Calculation</t>
  </si>
  <si>
    <t>Subtotal</t>
  </si>
  <si>
    <t>The ending fund balance as of June 30,2007 does not match the City's audited financial statements by $2,223,423 due to the timing of the purchase of the Camp Hilltop (Girl Scouts) property.  The audit did not allow for the recognition of these expenditures as the escrow was not settled until after June 30th.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</si>
</sst>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00_);[Red]\(&quot;$&quot;#,##0.000\)"/>
    <numFmt numFmtId="172" formatCode="&quot;$&quot;#,##0.0000_);[Red]\(&quot;$&quot;#,##0.0000\)"/>
    <numFmt numFmtId="173" formatCode="&quot;$&quot;#,##0.0_);[Red]\(&quot;$&quot;#,##0.0\)"/>
    <numFmt numFmtId="174" formatCode="&quot;$&quot;#,##0.00"/>
    <numFmt numFmtId="175" formatCode="0.0%"/>
    <numFmt numFmtId="176" formatCode="0_);[Red]\(0\)"/>
    <numFmt numFmtId="177" formatCode="_(* #,##0.000_);_(* \(#,##0.000\);_(* &quot;-&quot;???_);_(@_)"/>
    <numFmt numFmtId="178" formatCode="_(&quot;$&quot;* #,##0.000_);_(&quot;$&quot;* \(#,##0.000\);_(&quot;$&quot;* &quot;-&quot;??_);_(@_)"/>
    <numFmt numFmtId="179" formatCode="_(&quot;$&quot;* #,##0.000_);_(&quot;$&quot;* \(#,##0.000\);_(&quot;$&quot;* &quot;-&quot;???_);_(@_)"/>
  </numFmts>
  <fonts count="43">
    <font>
      <sz val="10"/>
      <name val="Arial"/>
      <family val="0"/>
    </font>
    <font>
      <b/>
      <u val="single"/>
      <sz val="12"/>
      <name val="Arial"/>
      <family val="2"/>
    </font>
    <font>
      <b/>
      <sz val="10"/>
      <name val="Arial"/>
      <family val="2"/>
    </font>
    <font>
      <sz val="8"/>
      <name val="Tahoma"/>
      <family val="0"/>
    </font>
    <font>
      <b/>
      <sz val="8"/>
      <name val="Tahoma"/>
      <family val="0"/>
    </font>
    <font>
      <sz val="12"/>
      <name val="Arial"/>
      <family val="2"/>
    </font>
    <font>
      <b/>
      <sz val="12"/>
      <name val="Arial"/>
      <family val="2"/>
    </font>
    <font>
      <b/>
      <vertAlign val="superscript"/>
      <sz val="12"/>
      <name val="Arial"/>
      <family val="2"/>
    </font>
    <font>
      <sz val="12"/>
      <color indexed="9"/>
      <name val="Arial"/>
      <family val="2"/>
    </font>
    <font>
      <vertAlign val="superscript"/>
      <sz val="14"/>
      <name val="Arial"/>
      <family val="2"/>
    </font>
    <font>
      <b/>
      <u val="single"/>
      <sz val="10"/>
      <name val="Arial"/>
      <family val="2"/>
    </font>
    <font>
      <b/>
      <sz val="12"/>
      <color indexed="8"/>
      <name val="Arial"/>
      <family val="2"/>
    </font>
    <font>
      <u val="single"/>
      <sz val="12"/>
      <name val="Arial"/>
      <family val="2"/>
    </font>
    <font>
      <sz val="12"/>
      <color indexed="8"/>
      <name val="Arial"/>
      <family val="2"/>
    </font>
    <font>
      <u val="single"/>
      <sz val="10"/>
      <color indexed="12"/>
      <name val="Arial"/>
      <family val="0"/>
    </font>
    <font>
      <u val="single"/>
      <sz val="10"/>
      <color indexed="36"/>
      <name val="Arial"/>
      <family val="0"/>
    </font>
    <font>
      <i/>
      <sz val="10"/>
      <name val="Arial"/>
      <family val="2"/>
    </font>
    <font>
      <u val="single"/>
      <sz val="10"/>
      <name val="Arial"/>
      <family val="2"/>
    </font>
    <font>
      <sz val="8"/>
      <name val="Arial"/>
      <family val="2"/>
    </font>
    <font>
      <u val="singleAccounting"/>
      <sz val="10"/>
      <name val="Arial"/>
      <family val="2"/>
    </font>
    <font>
      <b/>
      <u val="doubleAccounting"/>
      <sz val="10"/>
      <name val="Arial"/>
      <family val="2"/>
    </font>
    <font>
      <b/>
      <u val="singleAccounting"/>
      <sz val="10"/>
      <name val="Arial"/>
      <family val="2"/>
    </font>
    <font>
      <b/>
      <sz val="9"/>
      <name val="Arial"/>
      <family val="2"/>
    </font>
    <font>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xf>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1" fillId="0" borderId="0" xfId="0" applyFont="1" applyAlignment="1">
      <alignment/>
    </xf>
    <xf numFmtId="168" fontId="5" fillId="0" borderId="0" xfId="44" applyNumberFormat="1" applyFont="1" applyAlignment="1">
      <alignment/>
    </xf>
    <xf numFmtId="168" fontId="5" fillId="0" borderId="0" xfId="44" applyNumberFormat="1" applyFont="1" applyBorder="1" applyAlignment="1">
      <alignment/>
    </xf>
    <xf numFmtId="168" fontId="5" fillId="0" borderId="0" xfId="42" applyNumberFormat="1" applyFont="1" applyAlignment="1">
      <alignment/>
    </xf>
    <xf numFmtId="168" fontId="5" fillId="0" borderId="0" xfId="42" applyNumberFormat="1" applyFont="1" applyBorder="1" applyAlignment="1">
      <alignment/>
    </xf>
    <xf numFmtId="168" fontId="5" fillId="0" borderId="0" xfId="0" applyNumberFormat="1" applyFont="1" applyAlignment="1">
      <alignment/>
    </xf>
    <xf numFmtId="168" fontId="5" fillId="0" borderId="0" xfId="0" applyNumberFormat="1" applyFont="1" applyBorder="1" applyAlignment="1">
      <alignment/>
    </xf>
    <xf numFmtId="168" fontId="5" fillId="0" borderId="11" xfId="44" applyNumberFormat="1" applyFont="1" applyBorder="1" applyAlignment="1">
      <alignment/>
    </xf>
    <xf numFmtId="168" fontId="5" fillId="0" borderId="12" xfId="44" applyNumberFormat="1" applyFont="1" applyBorder="1" applyAlignment="1">
      <alignment/>
    </xf>
    <xf numFmtId="168" fontId="1" fillId="0" borderId="0" xfId="0" applyNumberFormat="1" applyFont="1" applyAlignment="1">
      <alignment/>
    </xf>
    <xf numFmtId="168" fontId="6" fillId="0" borderId="0" xfId="44" applyNumberFormat="1" applyFont="1" applyAlignment="1">
      <alignment/>
    </xf>
    <xf numFmtId="168" fontId="5" fillId="0" borderId="0" xfId="44" applyNumberFormat="1" applyFont="1" applyAlignment="1">
      <alignment horizontal="left"/>
    </xf>
    <xf numFmtId="168" fontId="5" fillId="0" borderId="0" xfId="44" applyNumberFormat="1" applyFont="1" applyAlignment="1">
      <alignment horizontal="left" indent="1"/>
    </xf>
    <xf numFmtId="168" fontId="5" fillId="0" borderId="0" xfId="42" applyNumberFormat="1" applyFont="1" applyAlignment="1">
      <alignment horizontal="left"/>
    </xf>
    <xf numFmtId="168" fontId="5" fillId="0" borderId="0" xfId="42" applyNumberFormat="1" applyFont="1" applyAlignment="1">
      <alignment horizontal="left" indent="1"/>
    </xf>
    <xf numFmtId="38" fontId="5" fillId="0" borderId="0" xfId="42" applyNumberFormat="1" applyFont="1" applyBorder="1" applyAlignment="1">
      <alignment/>
    </xf>
    <xf numFmtId="38" fontId="5" fillId="0" borderId="0" xfId="42" applyNumberFormat="1" applyFont="1" applyAlignment="1">
      <alignment/>
    </xf>
    <xf numFmtId="38" fontId="5" fillId="0" borderId="0" xfId="0" applyNumberFormat="1" applyFont="1" applyAlignment="1">
      <alignment/>
    </xf>
    <xf numFmtId="38" fontId="5" fillId="0" borderId="10" xfId="0" applyNumberFormat="1" applyFont="1" applyBorder="1" applyAlignment="1">
      <alignment/>
    </xf>
    <xf numFmtId="168" fontId="5" fillId="0" borderId="0" xfId="42" applyNumberFormat="1" applyFont="1" applyAlignment="1">
      <alignment horizontal="left" indent="2"/>
    </xf>
    <xf numFmtId="168" fontId="5" fillId="0" borderId="0" xfId="0" applyNumberFormat="1" applyFont="1" applyAlignment="1">
      <alignment horizontal="left" indent="2"/>
    </xf>
    <xf numFmtId="176" fontId="5" fillId="0" borderId="0" xfId="0" applyNumberFormat="1" applyFont="1" applyAlignment="1">
      <alignment/>
    </xf>
    <xf numFmtId="168" fontId="6" fillId="0" borderId="0" xfId="0" applyNumberFormat="1" applyFont="1" applyAlignment="1">
      <alignment/>
    </xf>
    <xf numFmtId="168" fontId="5" fillId="0" borderId="0" xfId="0" applyNumberFormat="1" applyFont="1" applyAlignment="1" quotePrefix="1">
      <alignment horizontal="left" indent="1"/>
    </xf>
    <xf numFmtId="168" fontId="5" fillId="0" borderId="0" xfId="0" applyNumberFormat="1" applyFont="1" applyAlignment="1">
      <alignment horizontal="left" indent="1"/>
    </xf>
    <xf numFmtId="38" fontId="5" fillId="0" borderId="0" xfId="44" applyNumberFormat="1" applyFont="1" applyFill="1" applyAlignment="1">
      <alignment/>
    </xf>
    <xf numFmtId="38" fontId="5" fillId="0" borderId="0" xfId="44" applyNumberFormat="1" applyFont="1" applyAlignment="1">
      <alignment/>
    </xf>
    <xf numFmtId="168" fontId="5" fillId="0" borderId="0" xfId="44" applyNumberFormat="1" applyFont="1" applyAlignment="1">
      <alignment horizontal="left" indent="2"/>
    </xf>
    <xf numFmtId="168" fontId="5" fillId="0" borderId="13" xfId="42" applyNumberFormat="1" applyFont="1" applyBorder="1" applyAlignment="1">
      <alignment/>
    </xf>
    <xf numFmtId="168" fontId="8" fillId="0" borderId="0" xfId="0" applyNumberFormat="1" applyFont="1" applyAlignment="1">
      <alignment/>
    </xf>
    <xf numFmtId="38" fontId="5" fillId="0" borderId="0" xfId="44" applyNumberFormat="1" applyFont="1" applyBorder="1" applyAlignment="1">
      <alignment/>
    </xf>
    <xf numFmtId="38" fontId="5" fillId="0" borderId="10" xfId="44" applyNumberFormat="1" applyFont="1" applyFill="1" applyBorder="1" applyAlignment="1">
      <alignment/>
    </xf>
    <xf numFmtId="0" fontId="9" fillId="0" borderId="0" xfId="42" applyNumberFormat="1" applyFont="1" applyBorder="1" applyAlignment="1">
      <alignment horizontal="center"/>
    </xf>
    <xf numFmtId="0" fontId="0" fillId="0" borderId="0" xfId="0" applyFont="1" applyAlignment="1">
      <alignment horizontal="centerContinuous"/>
    </xf>
    <xf numFmtId="0" fontId="0" fillId="0" borderId="0" xfId="0" applyFont="1" applyAlignment="1">
      <alignment/>
    </xf>
    <xf numFmtId="0" fontId="10"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10" fillId="0" borderId="0" xfId="0" applyFont="1" applyAlignment="1">
      <alignment/>
    </xf>
    <xf numFmtId="168" fontId="6" fillId="0" borderId="0" xfId="0" applyNumberFormat="1" applyFont="1" applyBorder="1" applyAlignment="1">
      <alignment/>
    </xf>
    <xf numFmtId="168" fontId="5" fillId="0" borderId="14" xfId="44" applyNumberFormat="1" applyFont="1" applyBorder="1" applyAlignment="1">
      <alignment/>
    </xf>
    <xf numFmtId="38" fontId="5" fillId="0" borderId="10" xfId="42" applyNumberFormat="1" applyFont="1" applyBorder="1" applyAlignment="1">
      <alignment/>
    </xf>
    <xf numFmtId="169" fontId="5" fillId="0" borderId="0" xfId="42" applyNumberFormat="1" applyFont="1" applyBorder="1" applyAlignment="1">
      <alignment/>
    </xf>
    <xf numFmtId="169" fontId="5" fillId="0" borderId="10" xfId="42" applyNumberFormat="1" applyFont="1" applyBorder="1" applyAlignment="1">
      <alignment/>
    </xf>
    <xf numFmtId="0" fontId="11"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168" fontId="6" fillId="0" borderId="0" xfId="44" applyNumberFormat="1" applyFont="1" applyFill="1" applyBorder="1" applyAlignment="1">
      <alignment horizontal="center"/>
    </xf>
    <xf numFmtId="168" fontId="5" fillId="0" borderId="0" xfId="0" applyNumberFormat="1" applyFont="1" applyFill="1" applyBorder="1" applyAlignment="1">
      <alignment/>
    </xf>
    <xf numFmtId="168" fontId="6" fillId="0" borderId="0" xfId="0" applyNumberFormat="1" applyFont="1" applyFill="1" applyBorder="1" applyAlignment="1">
      <alignment/>
    </xf>
    <xf numFmtId="0" fontId="5" fillId="0" borderId="0" xfId="0" applyFont="1" applyFill="1" applyBorder="1" applyAlignment="1">
      <alignment/>
    </xf>
    <xf numFmtId="168" fontId="5" fillId="0" borderId="0" xfId="44" applyNumberFormat="1" applyFont="1" applyFill="1" applyBorder="1" applyAlignment="1">
      <alignment horizontal="center"/>
    </xf>
    <xf numFmtId="168" fontId="5" fillId="0" borderId="0" xfId="44" applyNumberFormat="1" applyFont="1" applyFill="1" applyBorder="1" applyAlignment="1">
      <alignment/>
    </xf>
    <xf numFmtId="168" fontId="6" fillId="0" borderId="0" xfId="44" applyNumberFormat="1" applyFont="1" applyFill="1" applyBorder="1" applyAlignment="1">
      <alignment/>
    </xf>
    <xf numFmtId="0" fontId="5" fillId="0" borderId="0" xfId="0" applyFont="1" applyBorder="1" applyAlignment="1">
      <alignment/>
    </xf>
    <xf numFmtId="49" fontId="5" fillId="0" borderId="0" xfId="0" applyNumberFormat="1" applyFont="1" applyFill="1" applyBorder="1" applyAlignment="1">
      <alignment/>
    </xf>
    <xf numFmtId="0" fontId="5" fillId="0" borderId="0" xfId="0" applyFont="1" applyFill="1" applyAlignment="1">
      <alignment/>
    </xf>
    <xf numFmtId="168" fontId="5" fillId="0" borderId="0" xfId="0" applyNumberFormat="1" applyFont="1" applyAlignment="1">
      <alignment/>
    </xf>
    <xf numFmtId="38" fontId="5" fillId="0" borderId="0" xfId="0" applyNumberFormat="1" applyFont="1" applyBorder="1" applyAlignment="1">
      <alignment/>
    </xf>
    <xf numFmtId="168" fontId="6" fillId="0" borderId="0" xfId="44" applyNumberFormat="1" applyFont="1" applyAlignment="1">
      <alignment horizontal="left"/>
    </xf>
    <xf numFmtId="168" fontId="6" fillId="0" borderId="0" xfId="44" applyNumberFormat="1" applyFont="1" applyAlignment="1">
      <alignment horizontal="left" indent="2"/>
    </xf>
    <xf numFmtId="170" fontId="5" fillId="0" borderId="0" xfId="44" applyNumberFormat="1" applyFont="1" applyFill="1" applyBorder="1" applyAlignment="1">
      <alignment horizontal="center"/>
    </xf>
    <xf numFmtId="170" fontId="5" fillId="0" borderId="0" xfId="44" applyNumberFormat="1" applyFont="1" applyFill="1" applyBorder="1" applyAlignment="1">
      <alignment/>
    </xf>
    <xf numFmtId="170" fontId="5" fillId="0" borderId="10" xfId="44" applyNumberFormat="1" applyFont="1" applyFill="1" applyBorder="1" applyAlignment="1">
      <alignment horizontal="center"/>
    </xf>
    <xf numFmtId="0" fontId="6" fillId="0" borderId="10" xfId="0" applyFont="1" applyFill="1" applyBorder="1" applyAlignment="1">
      <alignment/>
    </xf>
    <xf numFmtId="168" fontId="6" fillId="0" borderId="10" xfId="44" applyNumberFormat="1" applyFont="1" applyFill="1" applyBorder="1" applyAlignment="1">
      <alignment horizontal="center"/>
    </xf>
    <xf numFmtId="168" fontId="6" fillId="0" borderId="10" xfId="0" applyNumberFormat="1" applyFont="1" applyFill="1" applyBorder="1" applyAlignment="1">
      <alignment horizontal="center"/>
    </xf>
    <xf numFmtId="0" fontId="5" fillId="0" borderId="0" xfId="0" applyFont="1" applyAlignment="1">
      <alignment wrapText="1"/>
    </xf>
    <xf numFmtId="168" fontId="6" fillId="0" borderId="12" xfId="44" applyNumberFormat="1" applyFont="1" applyFill="1" applyBorder="1" applyAlignment="1">
      <alignment horizontal="center"/>
    </xf>
    <xf numFmtId="168" fontId="6" fillId="0" borderId="12" xfId="44" applyNumberFormat="1" applyFont="1" applyFill="1" applyBorder="1" applyAlignment="1">
      <alignment/>
    </xf>
    <xf numFmtId="0" fontId="11" fillId="0" borderId="0" xfId="0" applyFont="1" applyFill="1" applyBorder="1" applyAlignment="1">
      <alignment horizontal="left" indent="1"/>
    </xf>
    <xf numFmtId="0" fontId="5" fillId="0" borderId="0" xfId="0" applyFont="1" applyAlignment="1">
      <alignment horizontal="center" wrapText="1"/>
    </xf>
    <xf numFmtId="0" fontId="5" fillId="0" borderId="0" xfId="0" applyFont="1" applyAlignment="1">
      <alignment horizontal="left" indent="1"/>
    </xf>
    <xf numFmtId="0" fontId="6" fillId="0" borderId="0" xfId="0" applyFont="1" applyAlignment="1">
      <alignment horizontal="left" indent="2"/>
    </xf>
    <xf numFmtId="0" fontId="6" fillId="0" borderId="10" xfId="0" applyFont="1" applyBorder="1" applyAlignment="1">
      <alignment horizontal="center" wrapText="1"/>
    </xf>
    <xf numFmtId="170" fontId="5" fillId="0" borderId="0" xfId="0" applyNumberFormat="1" applyFont="1" applyAlignment="1">
      <alignment/>
    </xf>
    <xf numFmtId="0" fontId="12" fillId="0" borderId="0" xfId="0" applyFont="1" applyBorder="1" applyAlignment="1">
      <alignment/>
    </xf>
    <xf numFmtId="0" fontId="6" fillId="0" borderId="0" xfId="0" applyFont="1" applyAlignment="1">
      <alignment/>
    </xf>
    <xf numFmtId="0" fontId="5" fillId="0" borderId="0" xfId="0" applyFont="1" applyAlignment="1">
      <alignment horizontal="left" indent="2"/>
    </xf>
    <xf numFmtId="168" fontId="5" fillId="0" borderId="10" xfId="44" applyNumberFormat="1" applyFont="1" applyFill="1" applyBorder="1" applyAlignment="1">
      <alignment horizontal="center"/>
    </xf>
    <xf numFmtId="0" fontId="5" fillId="0" borderId="0" xfId="0" applyFont="1" applyAlignment="1">
      <alignment vertical="top"/>
    </xf>
    <xf numFmtId="0" fontId="13" fillId="0" borderId="0" xfId="0" applyFont="1" applyFill="1" applyBorder="1" applyAlignment="1">
      <alignment/>
    </xf>
    <xf numFmtId="0" fontId="5" fillId="0" borderId="0" xfId="0" applyFont="1" applyAlignment="1" quotePrefix="1">
      <alignment/>
    </xf>
    <xf numFmtId="38" fontId="5" fillId="0" borderId="0" xfId="42" applyNumberFormat="1" applyFont="1" applyFill="1" applyBorder="1" applyAlignment="1">
      <alignment/>
    </xf>
    <xf numFmtId="168" fontId="5" fillId="0" borderId="10" xfId="0" applyNumberFormat="1" applyFont="1" applyBorder="1" applyAlignment="1">
      <alignment/>
    </xf>
    <xf numFmtId="168" fontId="5" fillId="0" borderId="0" xfId="0" applyNumberFormat="1" applyFont="1" applyFill="1" applyAlignment="1">
      <alignment/>
    </xf>
    <xf numFmtId="170" fontId="6" fillId="0" borderId="0" xfId="44" applyNumberFormat="1" applyFont="1" applyFill="1" applyBorder="1" applyAlignment="1">
      <alignment horizontal="center"/>
    </xf>
    <xf numFmtId="168" fontId="5" fillId="0" borderId="0" xfId="44" applyNumberFormat="1" applyFont="1" applyFill="1" applyAlignment="1">
      <alignment/>
    </xf>
    <xf numFmtId="169" fontId="5" fillId="0" borderId="0" xfId="42" applyNumberFormat="1" applyFont="1" applyFill="1" applyBorder="1" applyAlignment="1">
      <alignment/>
    </xf>
    <xf numFmtId="169" fontId="5" fillId="0" borderId="10" xfId="42" applyNumberFormat="1" applyFont="1" applyFill="1" applyBorder="1" applyAlignment="1">
      <alignment/>
    </xf>
    <xf numFmtId="168" fontId="5" fillId="0" borderId="0" xfId="42" applyNumberFormat="1" applyFont="1" applyFill="1" applyBorder="1" applyAlignment="1">
      <alignment/>
    </xf>
    <xf numFmtId="38" fontId="5" fillId="0" borderId="0" xfId="0" applyNumberFormat="1" applyFont="1" applyFill="1" applyBorder="1" applyAlignment="1">
      <alignment/>
    </xf>
    <xf numFmtId="168" fontId="5" fillId="0" borderId="14" xfId="44" applyNumberFormat="1" applyFont="1" applyFill="1" applyBorder="1" applyAlignment="1">
      <alignment/>
    </xf>
    <xf numFmtId="38" fontId="5" fillId="0" borderId="10" xfId="0" applyNumberFormat="1" applyFont="1" applyFill="1" applyBorder="1" applyAlignment="1">
      <alignment/>
    </xf>
    <xf numFmtId="38" fontId="5" fillId="0" borderId="0" xfId="44" applyNumberFormat="1" applyFont="1" applyFill="1" applyBorder="1" applyAlignment="1">
      <alignment/>
    </xf>
    <xf numFmtId="0" fontId="0" fillId="0" borderId="0" xfId="0" applyBorder="1" applyAlignment="1">
      <alignment/>
    </xf>
    <xf numFmtId="0" fontId="2" fillId="0" borderId="0" xfId="0" applyFont="1" applyBorder="1" applyAlignment="1">
      <alignment/>
    </xf>
    <xf numFmtId="44" fontId="0" fillId="0" borderId="0" xfId="44" applyFont="1" applyBorder="1" applyAlignment="1">
      <alignment horizontal="left"/>
    </xf>
    <xf numFmtId="44" fontId="0" fillId="0" borderId="0" xfId="0" applyNumberFormat="1" applyBorder="1" applyAlignment="1">
      <alignment/>
    </xf>
    <xf numFmtId="168" fontId="0" fillId="0" borderId="0" xfId="0" applyNumberFormat="1" applyBorder="1" applyAlignment="1">
      <alignment/>
    </xf>
    <xf numFmtId="0" fontId="18" fillId="0" borderId="0" xfId="0" applyFont="1" applyBorder="1" applyAlignment="1">
      <alignment/>
    </xf>
    <xf numFmtId="168" fontId="18" fillId="0" borderId="0" xfId="44" applyNumberFormat="1" applyFont="1" applyFill="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14" xfId="0" applyFont="1" applyBorder="1" applyAlignment="1">
      <alignment/>
    </xf>
    <xf numFmtId="168" fontId="2" fillId="0" borderId="14" xfId="44" applyNumberFormat="1" applyFont="1" applyBorder="1" applyAlignment="1">
      <alignment/>
    </xf>
    <xf numFmtId="9" fontId="2" fillId="0" borderId="14" xfId="59" applyFont="1" applyBorder="1" applyAlignment="1">
      <alignment/>
    </xf>
    <xf numFmtId="0" fontId="0" fillId="0" borderId="16" xfId="0" applyFont="1" applyBorder="1" applyAlignment="1" quotePrefix="1">
      <alignment/>
    </xf>
    <xf numFmtId="0" fontId="0" fillId="0" borderId="17" xfId="0" applyFont="1" applyBorder="1" applyAlignment="1">
      <alignment/>
    </xf>
    <xf numFmtId="0" fontId="16" fillId="0" borderId="0" xfId="0" applyFont="1" applyBorder="1" applyAlignment="1">
      <alignment/>
    </xf>
    <xf numFmtId="168" fontId="0" fillId="0" borderId="0" xfId="44" applyNumberFormat="1" applyFont="1" applyBorder="1" applyAlignment="1">
      <alignment/>
    </xf>
    <xf numFmtId="9" fontId="0" fillId="0" borderId="0" xfId="59" applyFont="1" applyBorder="1" applyAlignment="1">
      <alignment/>
    </xf>
    <xf numFmtId="0" fontId="0" fillId="0" borderId="18" xfId="0" applyFont="1" applyBorder="1" applyAlignment="1">
      <alignment/>
    </xf>
    <xf numFmtId="0" fontId="0" fillId="0" borderId="0" xfId="0" applyFont="1" applyBorder="1" applyAlignment="1">
      <alignment horizontal="right"/>
    </xf>
    <xf numFmtId="168" fontId="17" fillId="0" borderId="0" xfId="44" applyNumberFormat="1" applyFont="1" applyBorder="1" applyAlignment="1">
      <alignment/>
    </xf>
    <xf numFmtId="0" fontId="0" fillId="0" borderId="17" xfId="0" applyFont="1" applyBorder="1" applyAlignment="1" quotePrefix="1">
      <alignment/>
    </xf>
    <xf numFmtId="168" fontId="2" fillId="0" borderId="0" xfId="44" applyNumberFormat="1" applyFont="1" applyBorder="1" applyAlignment="1">
      <alignment/>
    </xf>
    <xf numFmtId="9" fontId="2" fillId="0" borderId="0" xfId="59" applyFont="1" applyBorder="1" applyAlignment="1">
      <alignment/>
    </xf>
    <xf numFmtId="168" fontId="21" fillId="0" borderId="0" xfId="44" applyNumberFormat="1" applyFont="1" applyBorder="1" applyAlignment="1">
      <alignment/>
    </xf>
    <xf numFmtId="0" fontId="0" fillId="0" borderId="18" xfId="0" applyFont="1" applyBorder="1" applyAlignment="1" quotePrefix="1">
      <alignment/>
    </xf>
    <xf numFmtId="168" fontId="0" fillId="0" borderId="0" xfId="0" applyNumberFormat="1" applyFont="1" applyBorder="1" applyAlignment="1">
      <alignment/>
    </xf>
    <xf numFmtId="168" fontId="20" fillId="0" borderId="0" xfId="44" applyNumberFormat="1" applyFont="1" applyBorder="1" applyAlignment="1">
      <alignment/>
    </xf>
    <xf numFmtId="168" fontId="19" fillId="0" borderId="0" xfId="0" applyNumberFormat="1"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20" xfId="0" applyFont="1" applyBorder="1" applyAlignment="1">
      <alignment/>
    </xf>
    <xf numFmtId="0" fontId="2" fillId="0" borderId="0" xfId="0" applyFont="1" applyBorder="1" applyAlignment="1">
      <alignment horizontal="center"/>
    </xf>
    <xf numFmtId="168" fontId="2" fillId="0" borderId="0" xfId="44" applyNumberFormat="1" applyFont="1" applyFill="1" applyBorder="1" applyAlignment="1">
      <alignment horizontal="center"/>
    </xf>
    <xf numFmtId="168" fontId="2" fillId="0" borderId="0" xfId="0" applyNumberFormat="1" applyFont="1" applyBorder="1" applyAlignment="1">
      <alignment/>
    </xf>
    <xf numFmtId="168" fontId="20"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9" fontId="0" fillId="0" borderId="0" xfId="59" applyFont="1" applyAlignment="1">
      <alignment/>
    </xf>
    <xf numFmtId="44" fontId="0" fillId="0" borderId="0" xfId="0" applyNumberFormat="1" applyAlignment="1">
      <alignment/>
    </xf>
    <xf numFmtId="168" fontId="19" fillId="0" borderId="0" xfId="0" applyNumberFormat="1" applyFont="1" applyAlignment="1">
      <alignment/>
    </xf>
    <xf numFmtId="175" fontId="2" fillId="0" borderId="0" xfId="59" applyNumberFormat="1" applyFont="1" applyBorder="1" applyAlignment="1">
      <alignment/>
    </xf>
    <xf numFmtId="175" fontId="2" fillId="0" borderId="14" xfId="59" applyNumberFormat="1" applyFont="1" applyBorder="1" applyAlignment="1">
      <alignment/>
    </xf>
    <xf numFmtId="0" fontId="22" fillId="0" borderId="0" xfId="0" applyFont="1" applyAlignment="1">
      <alignment/>
    </xf>
    <xf numFmtId="0" fontId="23" fillId="0" borderId="0" xfId="0" applyFont="1" applyAlignment="1">
      <alignment/>
    </xf>
    <xf numFmtId="0" fontId="22" fillId="0" borderId="0" xfId="0" applyFont="1" applyBorder="1" applyAlignment="1">
      <alignment/>
    </xf>
    <xf numFmtId="0" fontId="24" fillId="0" borderId="0" xfId="0" applyFont="1" applyBorder="1" applyAlignment="1">
      <alignment/>
    </xf>
    <xf numFmtId="168" fontId="6" fillId="0" borderId="0" xfId="42" applyNumberFormat="1" applyFont="1" applyAlignment="1">
      <alignment horizontal="left" indent="1"/>
    </xf>
    <xf numFmtId="0" fontId="0" fillId="0" borderId="0" xfId="0" applyAlignment="1">
      <alignment wrapText="1"/>
    </xf>
    <xf numFmtId="0" fontId="5" fillId="0" borderId="0" xfId="0" applyFont="1" applyAlignment="1">
      <alignment wrapText="1"/>
    </xf>
    <xf numFmtId="0" fontId="0" fillId="0" borderId="0" xfId="0" applyAlignment="1">
      <alignment wrapText="1"/>
    </xf>
    <xf numFmtId="0" fontId="0" fillId="0" borderId="0" xfId="0" applyAlignment="1">
      <alignment/>
    </xf>
    <xf numFmtId="0" fontId="13"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29</xdr:row>
      <xdr:rowOff>133350</xdr:rowOff>
    </xdr:from>
    <xdr:to>
      <xdr:col>9</xdr:col>
      <xdr:colOff>0</xdr:colOff>
      <xdr:row>31</xdr:row>
      <xdr:rowOff>28575</xdr:rowOff>
    </xdr:to>
    <xdr:sp>
      <xdr:nvSpPr>
        <xdr:cNvPr id="1" name="Oval 1"/>
        <xdr:cNvSpPr>
          <a:spLocks/>
        </xdr:cNvSpPr>
      </xdr:nvSpPr>
      <xdr:spPr>
        <a:xfrm>
          <a:off x="5915025" y="1514475"/>
          <a:ext cx="1152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29</xdr:row>
      <xdr:rowOff>133350</xdr:rowOff>
    </xdr:from>
    <xdr:to>
      <xdr:col>9</xdr:col>
      <xdr:colOff>0</xdr:colOff>
      <xdr:row>31</xdr:row>
      <xdr:rowOff>28575</xdr:rowOff>
    </xdr:to>
    <xdr:sp>
      <xdr:nvSpPr>
        <xdr:cNvPr id="2" name="Oval 10"/>
        <xdr:cNvSpPr>
          <a:spLocks/>
        </xdr:cNvSpPr>
      </xdr:nvSpPr>
      <xdr:spPr>
        <a:xfrm>
          <a:off x="5915025" y="1514475"/>
          <a:ext cx="1152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54</xdr:col>
      <xdr:colOff>47625</xdr:colOff>
      <xdr:row>0</xdr:row>
      <xdr:rowOff>0</xdr:rowOff>
    </xdr:to>
    <xdr:sp>
      <xdr:nvSpPr>
        <xdr:cNvPr id="1" name="Rectangle 1"/>
        <xdr:cNvSpPr>
          <a:spLocks/>
        </xdr:cNvSpPr>
      </xdr:nvSpPr>
      <xdr:spPr>
        <a:xfrm>
          <a:off x="66675" y="0"/>
          <a:ext cx="369189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54</xdr:col>
      <xdr:colOff>47625</xdr:colOff>
      <xdr:row>0</xdr:row>
      <xdr:rowOff>0</xdr:rowOff>
    </xdr:to>
    <xdr:sp>
      <xdr:nvSpPr>
        <xdr:cNvPr id="2" name="Rectangle 2"/>
        <xdr:cNvSpPr>
          <a:spLocks/>
        </xdr:cNvSpPr>
      </xdr:nvSpPr>
      <xdr:spPr>
        <a:xfrm>
          <a:off x="66675" y="0"/>
          <a:ext cx="369189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47625</xdr:colOff>
      <xdr:row>0</xdr:row>
      <xdr:rowOff>0</xdr:rowOff>
    </xdr:from>
    <xdr:to>
      <xdr:col>36</xdr:col>
      <xdr:colOff>47625</xdr:colOff>
      <xdr:row>0</xdr:row>
      <xdr:rowOff>0</xdr:rowOff>
    </xdr:to>
    <xdr:sp>
      <xdr:nvSpPr>
        <xdr:cNvPr id="3" name="Oval 3"/>
        <xdr:cNvSpPr>
          <a:spLocks/>
        </xdr:cNvSpPr>
      </xdr:nvSpPr>
      <xdr:spPr>
        <a:xfrm>
          <a:off x="25403175" y="0"/>
          <a:ext cx="60960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76200</xdr:colOff>
      <xdr:row>0</xdr:row>
      <xdr:rowOff>0</xdr:rowOff>
    </xdr:from>
    <xdr:to>
      <xdr:col>35</xdr:col>
      <xdr:colOff>609600</xdr:colOff>
      <xdr:row>0</xdr:row>
      <xdr:rowOff>0</xdr:rowOff>
    </xdr:to>
    <xdr:sp>
      <xdr:nvSpPr>
        <xdr:cNvPr id="4" name="Oval 4"/>
        <xdr:cNvSpPr>
          <a:spLocks/>
        </xdr:cNvSpPr>
      </xdr:nvSpPr>
      <xdr:spPr>
        <a:xfrm>
          <a:off x="24822150" y="0"/>
          <a:ext cx="114300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75" zoomScaleNormal="75" zoomScaleSheetLayoutView="100" zoomScalePageLayoutView="0" workbookViewId="0" topLeftCell="A1">
      <selection activeCell="B102" sqref="B102"/>
    </sheetView>
  </sheetViews>
  <sheetFormatPr defaultColWidth="9.140625" defaultRowHeight="12.75"/>
  <cols>
    <col min="1" max="1" width="9.140625" style="5" customWidth="1"/>
    <col min="2" max="2" width="43.28125" style="5" customWidth="1"/>
    <col min="3" max="3" width="2.00390625" style="5" customWidth="1"/>
    <col min="4" max="4" width="16.57421875" style="5" customWidth="1"/>
    <col min="5" max="5" width="1.7109375" style="5" customWidth="1"/>
    <col min="6" max="6" width="14.8515625" style="5" bestFit="1" customWidth="1"/>
    <col min="7" max="7" width="1.421875" style="5" customWidth="1"/>
    <col min="8" max="8" width="15.57421875" style="5" bestFit="1" customWidth="1"/>
    <col min="9" max="9" width="1.421875" style="5" customWidth="1"/>
    <col min="10" max="10" width="16.28125" style="5" bestFit="1" customWidth="1"/>
    <col min="11" max="11" width="1.8515625" style="5" customWidth="1"/>
    <col min="12" max="12" width="16.140625" style="5" customWidth="1"/>
    <col min="13" max="13" width="1.421875" style="5" customWidth="1"/>
    <col min="14" max="14" width="13.28125" style="5" bestFit="1" customWidth="1"/>
    <col min="15" max="16" width="1.421875" style="5" customWidth="1"/>
    <col min="17" max="16384" width="9.140625" style="5" customWidth="1"/>
  </cols>
  <sheetData>
    <row r="1" spans="2:15" s="43" customFormat="1" ht="12.75">
      <c r="B1" s="42" t="s">
        <v>0</v>
      </c>
      <c r="C1" s="42"/>
      <c r="D1" s="42"/>
      <c r="E1" s="42"/>
      <c r="F1" s="42"/>
      <c r="G1" s="42"/>
      <c r="H1" s="42"/>
      <c r="I1" s="42"/>
      <c r="J1" s="42"/>
      <c r="K1" s="42"/>
      <c r="L1" s="42"/>
      <c r="M1" s="42"/>
      <c r="N1" s="42"/>
      <c r="O1" s="42"/>
    </row>
    <row r="2" spans="2:15" s="3" customFormat="1" ht="15.75">
      <c r="B2" s="44" t="s">
        <v>174</v>
      </c>
      <c r="C2" s="44"/>
      <c r="D2" s="1"/>
      <c r="E2" s="2"/>
      <c r="F2" s="2"/>
      <c r="G2" s="2"/>
      <c r="H2" s="2"/>
      <c r="I2" s="2"/>
      <c r="J2" s="2"/>
      <c r="K2" s="2"/>
      <c r="L2" s="2"/>
      <c r="M2" s="2"/>
      <c r="N2" s="2"/>
      <c r="O2" s="2"/>
    </row>
    <row r="3" spans="2:15" s="3" customFormat="1" ht="15.75">
      <c r="B3" s="45" t="s">
        <v>162</v>
      </c>
      <c r="C3" s="45"/>
      <c r="D3" s="4"/>
      <c r="E3" s="2"/>
      <c r="F3" s="2"/>
      <c r="G3" s="2"/>
      <c r="H3" s="2"/>
      <c r="I3" s="2"/>
      <c r="J3" s="2"/>
      <c r="K3" s="2"/>
      <c r="L3" s="2"/>
      <c r="M3" s="2"/>
      <c r="N3" s="2"/>
      <c r="O3" s="2"/>
    </row>
    <row r="4" ht="15"/>
    <row r="5" ht="15"/>
    <row r="6" spans="6:12" ht="15">
      <c r="F6" s="2"/>
      <c r="G6" s="2"/>
      <c r="H6" s="2"/>
      <c r="J6" s="2"/>
      <c r="K6" s="2"/>
      <c r="L6" s="2"/>
    </row>
    <row r="7" spans="4:15" ht="15">
      <c r="D7" s="6" t="s">
        <v>35</v>
      </c>
      <c r="F7" s="6" t="s">
        <v>16</v>
      </c>
      <c r="H7" s="6" t="s">
        <v>17</v>
      </c>
      <c r="J7" s="6" t="s">
        <v>144</v>
      </c>
      <c r="L7" s="6" t="s">
        <v>161</v>
      </c>
      <c r="O7" s="8"/>
    </row>
    <row r="8" ht="15"/>
    <row r="9" spans="2:4" ht="15.75" hidden="1">
      <c r="B9" s="9" t="s">
        <v>10</v>
      </c>
      <c r="C9" s="9"/>
      <c r="D9" s="9"/>
    </row>
    <row r="10" spans="2:8" ht="15.75" hidden="1">
      <c r="B10" s="9" t="s">
        <v>7</v>
      </c>
      <c r="C10" s="9"/>
      <c r="D10" s="9"/>
      <c r="F10" s="7"/>
      <c r="H10" s="7"/>
    </row>
    <row r="11" spans="2:8" s="10" customFormat="1" ht="15" hidden="1">
      <c r="B11" s="10" t="s">
        <v>2</v>
      </c>
      <c r="F11" s="10" t="e">
        <f>#REF!</f>
        <v>#REF!</v>
      </c>
      <c r="H11" s="10" t="e">
        <f>#REF!</f>
        <v>#REF!</v>
      </c>
    </row>
    <row r="12" spans="2:8" s="12" customFormat="1" ht="15" hidden="1">
      <c r="B12" s="12" t="s">
        <v>11</v>
      </c>
      <c r="F12" s="12" t="e">
        <f>#REF!</f>
        <v>#REF!</v>
      </c>
      <c r="H12" s="12" t="e">
        <f>#REF!</f>
        <v>#REF!</v>
      </c>
    </row>
    <row r="13" spans="2:8" s="12" customFormat="1" ht="15" hidden="1">
      <c r="B13" s="12" t="s">
        <v>3</v>
      </c>
      <c r="F13" s="12" t="e">
        <f>(F$11+F$12-F$19)*#REF!</f>
        <v>#REF!</v>
      </c>
      <c r="H13" s="12" t="e">
        <f>(H$11+H$12-H$19)*#REF!</f>
        <v>#REF!</v>
      </c>
    </row>
    <row r="14" spans="2:8" s="12" customFormat="1" ht="15" hidden="1">
      <c r="B14" s="12" t="s">
        <v>4</v>
      </c>
      <c r="F14" s="12" t="e">
        <f>(F$11+F$12-F$19)*#REF!</f>
        <v>#REF!</v>
      </c>
      <c r="H14" s="12" t="e">
        <f>(H$11+H$12-H$19)*#REF!</f>
        <v>#REF!</v>
      </c>
    </row>
    <row r="15" s="14" customFormat="1" ht="5.25" customHeight="1" hidden="1"/>
    <row r="16" spans="2:8" s="10" customFormat="1" ht="15" hidden="1">
      <c r="B16" s="10" t="s">
        <v>14</v>
      </c>
      <c r="F16" s="16" t="e">
        <f>SUM(F11:F15)</f>
        <v>#REF!</v>
      </c>
      <c r="H16" s="16" t="e">
        <f>SUM(H11:H15)</f>
        <v>#REF!</v>
      </c>
    </row>
    <row r="17" ht="15" hidden="1"/>
    <row r="18" spans="2:4" ht="15.75" hidden="1">
      <c r="B18" s="9" t="s">
        <v>8</v>
      </c>
      <c r="C18" s="9"/>
      <c r="D18" s="9"/>
    </row>
    <row r="19" spans="2:8" s="10" customFormat="1" ht="15" hidden="1">
      <c r="B19" s="10" t="s">
        <v>1</v>
      </c>
      <c r="F19" s="10" t="e">
        <f>-#REF!</f>
        <v>#REF!</v>
      </c>
      <c r="H19" s="10" t="e">
        <f>-#REF!</f>
        <v>#REF!</v>
      </c>
    </row>
    <row r="20" spans="6:8" s="14" customFormat="1" ht="6" customHeight="1" hidden="1">
      <c r="F20" s="12"/>
      <c r="H20" s="12"/>
    </row>
    <row r="21" spans="2:8" s="10" customFormat="1" ht="15" hidden="1">
      <c r="B21" s="10" t="s">
        <v>12</v>
      </c>
      <c r="F21" s="16" t="e">
        <f>SUM(F19:F20)</f>
        <v>#REF!</v>
      </c>
      <c r="H21" s="16" t="e">
        <f>SUM(H19:H20)</f>
        <v>#REF!</v>
      </c>
    </row>
    <row r="22" s="14" customFormat="1" ht="15" hidden="1"/>
    <row r="23" spans="2:8" s="10" customFormat="1" ht="15.75" hidden="1" thickBot="1">
      <c r="B23" s="10" t="s">
        <v>13</v>
      </c>
      <c r="F23" s="17" t="e">
        <f>+F16+F21</f>
        <v>#REF!</v>
      </c>
      <c r="H23" s="17" t="e">
        <f>+H16+H21</f>
        <v>#REF!</v>
      </c>
    </row>
    <row r="24" spans="6:8" s="14" customFormat="1" ht="15" hidden="1">
      <c r="F24" s="11"/>
      <c r="H24" s="11"/>
    </row>
    <row r="25" spans="2:8" s="14" customFormat="1" ht="15.75" hidden="1">
      <c r="B25" s="18" t="s">
        <v>9</v>
      </c>
      <c r="C25" s="18"/>
      <c r="D25" s="18"/>
      <c r="F25" s="11"/>
      <c r="H25" s="11"/>
    </row>
    <row r="26" spans="2:8" s="10" customFormat="1" ht="15" hidden="1">
      <c r="B26" s="10" t="s">
        <v>5</v>
      </c>
      <c r="F26" s="10" t="e">
        <f>+F23</f>
        <v>#REF!</v>
      </c>
      <c r="H26" s="10" t="e">
        <f>+H23</f>
        <v>#REF!</v>
      </c>
    </row>
    <row r="27" spans="2:8" s="12" customFormat="1" ht="15" hidden="1">
      <c r="B27" s="12" t="s">
        <v>6</v>
      </c>
      <c r="F27" s="12" t="e">
        <f>F26*(1-(#REF!-#REF!))^(F7-#REF!)-F26</f>
        <v>#REF!</v>
      </c>
      <c r="H27" s="12" t="e">
        <f>H26*(1-(#REF!-#REF!))^(H7-#REF!)-H26</f>
        <v>#REF!</v>
      </c>
    </row>
    <row r="28" spans="6:8" s="14" customFormat="1" ht="3.75" customHeight="1" hidden="1">
      <c r="F28" s="11"/>
      <c r="H28" s="11"/>
    </row>
    <row r="29" spans="2:8" s="10" customFormat="1" ht="15" hidden="1">
      <c r="B29" s="10" t="s">
        <v>15</v>
      </c>
      <c r="F29" s="16" t="e">
        <f>+F26+F27</f>
        <v>#REF!</v>
      </c>
      <c r="H29" s="16" t="e">
        <f>+H26+H27</f>
        <v>#REF!</v>
      </c>
    </row>
    <row r="30" s="14" customFormat="1" ht="15" hidden="1"/>
    <row r="31" spans="2:4" s="10" customFormat="1" ht="15.75" hidden="1">
      <c r="B31" s="19" t="s">
        <v>36</v>
      </c>
      <c r="C31" s="19"/>
      <c r="D31" s="19"/>
    </row>
    <row r="32" s="14" customFormat="1" ht="15" hidden="1"/>
    <row r="33" s="14" customFormat="1" ht="15"/>
    <row r="34" spans="2:4" s="14" customFormat="1" ht="15.75">
      <c r="B34" s="18" t="s">
        <v>7</v>
      </c>
      <c r="C34" s="18"/>
      <c r="D34" s="18"/>
    </row>
    <row r="35" spans="2:10" s="14" customFormat="1" ht="15.75">
      <c r="B35" s="18"/>
      <c r="C35" s="18"/>
      <c r="D35" s="18"/>
      <c r="J35" s="94"/>
    </row>
    <row r="36" spans="2:12" s="10" customFormat="1" ht="15">
      <c r="B36" s="20" t="s">
        <v>24</v>
      </c>
      <c r="C36" s="20"/>
      <c r="D36" s="21"/>
      <c r="F36" s="10">
        <v>1939529.81</v>
      </c>
      <c r="H36" s="96">
        <v>2014850.53</v>
      </c>
      <c r="J36" s="96">
        <v>2130653.75</v>
      </c>
      <c r="L36" s="10">
        <v>2242180.91</v>
      </c>
    </row>
    <row r="37" spans="2:12" s="12" customFormat="1" ht="15">
      <c r="B37" s="22" t="s">
        <v>18</v>
      </c>
      <c r="C37" s="22"/>
      <c r="D37" s="23"/>
      <c r="F37" s="51">
        <v>0</v>
      </c>
      <c r="G37" s="24"/>
      <c r="H37" s="92">
        <v>20108066.45</v>
      </c>
      <c r="J37" s="97">
        <v>0</v>
      </c>
      <c r="L37" s="51">
        <v>0</v>
      </c>
    </row>
    <row r="38" spans="2:12" s="12" customFormat="1" ht="21">
      <c r="B38" s="22" t="s">
        <v>19</v>
      </c>
      <c r="C38" s="41">
        <v>1</v>
      </c>
      <c r="D38" s="23"/>
      <c r="F38" s="24">
        <f>129409.68-13369.5</f>
        <v>116040.18</v>
      </c>
      <c r="G38" s="24"/>
      <c r="H38" s="92">
        <f>605575.13-40473.99+242030.24-34638.47-11963.56</f>
        <v>760529.35</v>
      </c>
      <c r="J38" s="92">
        <f>709470.79+20827.52-12351.16+40724.04+331719.63+88113.08-525.84</f>
        <v>1177978.06</v>
      </c>
      <c r="L38" s="92">
        <f>179793.82-34157.14-5926.31+452381.27-20827.52</f>
        <v>571264.12</v>
      </c>
    </row>
    <row r="39" spans="2:12" s="12" customFormat="1" ht="17.25" customHeight="1">
      <c r="B39" s="22" t="s">
        <v>154</v>
      </c>
      <c r="C39" s="22"/>
      <c r="D39" s="23"/>
      <c r="F39" s="24"/>
      <c r="G39" s="24"/>
      <c r="H39" s="92"/>
      <c r="J39" s="92">
        <f>2200+1718</f>
        <v>3918</v>
      </c>
      <c r="K39" s="41"/>
      <c r="L39" s="25">
        <v>1500</v>
      </c>
    </row>
    <row r="40" spans="2:12" s="12" customFormat="1" ht="15">
      <c r="B40" s="22" t="s">
        <v>21</v>
      </c>
      <c r="C40" s="22"/>
      <c r="D40" s="23"/>
      <c r="F40" s="25">
        <v>659337.09</v>
      </c>
      <c r="G40" s="25"/>
      <c r="H40" s="97">
        <v>0</v>
      </c>
      <c r="J40" s="97">
        <v>0</v>
      </c>
      <c r="L40" s="51">
        <v>0</v>
      </c>
    </row>
    <row r="41" spans="2:12" s="12" customFormat="1" ht="15">
      <c r="B41" s="22" t="s">
        <v>137</v>
      </c>
      <c r="C41" s="22"/>
      <c r="D41" s="23"/>
      <c r="F41" s="51">
        <v>0</v>
      </c>
      <c r="G41" s="25"/>
      <c r="H41" s="92">
        <v>190642</v>
      </c>
      <c r="J41" s="92">
        <f>791100+466300</f>
        <v>1257400</v>
      </c>
      <c r="L41" s="25">
        <f>335000+336642</f>
        <v>671642</v>
      </c>
    </row>
    <row r="42" spans="2:12" s="12" customFormat="1" ht="15">
      <c r="B42" s="22" t="s">
        <v>20</v>
      </c>
      <c r="C42" s="22"/>
      <c r="D42" s="23"/>
      <c r="F42" s="50">
        <v>50000</v>
      </c>
      <c r="G42" s="25"/>
      <c r="H42" s="98">
        <v>0</v>
      </c>
      <c r="J42" s="52">
        <v>0</v>
      </c>
      <c r="L42" s="52">
        <v>0</v>
      </c>
    </row>
    <row r="43" spans="2:12" s="12" customFormat="1" ht="15">
      <c r="B43" s="23" t="s">
        <v>106</v>
      </c>
      <c r="C43" s="23"/>
      <c r="D43" s="28"/>
      <c r="F43" s="13">
        <f>SUM(F36:F42)</f>
        <v>2764907.08</v>
      </c>
      <c r="H43" s="99">
        <f>SUM(H36:H42)</f>
        <v>23074088.330000002</v>
      </c>
      <c r="J43" s="12">
        <f>SUM(J36:J42)</f>
        <v>4569949.8100000005</v>
      </c>
      <c r="L43" s="12">
        <f>SUM(L36:L42)</f>
        <v>3486587.0300000003</v>
      </c>
    </row>
    <row r="44" spans="2:12" s="12" customFormat="1" ht="15">
      <c r="B44" s="23" t="s">
        <v>100</v>
      </c>
      <c r="C44" s="23"/>
      <c r="D44" s="28"/>
      <c r="F44" s="67">
        <v>-1545.57</v>
      </c>
      <c r="H44" s="100">
        <v>-3235.07</v>
      </c>
      <c r="J44" s="67">
        <v>-1930.22</v>
      </c>
      <c r="L44" s="97">
        <v>0</v>
      </c>
    </row>
    <row r="45" spans="2:12" s="31" customFormat="1" ht="15.75" customHeight="1">
      <c r="B45" s="33" t="s">
        <v>126</v>
      </c>
      <c r="C45" s="33"/>
      <c r="F45" s="30">
        <v>-949.79</v>
      </c>
      <c r="G45" s="48"/>
      <c r="H45" s="97">
        <v>0</v>
      </c>
      <c r="J45" s="51">
        <v>0</v>
      </c>
      <c r="L45" s="98">
        <v>0</v>
      </c>
    </row>
    <row r="46" spans="2:12" s="10" customFormat="1" ht="15.75">
      <c r="B46" s="68" t="s">
        <v>125</v>
      </c>
      <c r="C46" s="68"/>
      <c r="F46" s="49">
        <f>SUM(F43:F45)</f>
        <v>2762411.72</v>
      </c>
      <c r="G46" s="11">
        <f>SUM(G43:G45)</f>
        <v>0</v>
      </c>
      <c r="H46" s="101">
        <f>SUM(H43:H45)</f>
        <v>23070853.26</v>
      </c>
      <c r="J46" s="49">
        <f>SUM(J43:J45)</f>
        <v>4568019.590000001</v>
      </c>
      <c r="L46" s="49">
        <f>SUM(L43:L45)</f>
        <v>3486587.0300000003</v>
      </c>
    </row>
    <row r="47" spans="6:16" s="14" customFormat="1" ht="15">
      <c r="F47" s="10"/>
      <c r="G47" s="10"/>
      <c r="H47" s="96"/>
      <c r="I47" s="10"/>
      <c r="O47" s="10"/>
      <c r="P47" s="10"/>
    </row>
    <row r="48" spans="2:8" s="14" customFormat="1" ht="15.75">
      <c r="B48" s="18" t="s">
        <v>8</v>
      </c>
      <c r="C48" s="18"/>
      <c r="D48" s="18"/>
      <c r="H48" s="94"/>
    </row>
    <row r="49" spans="2:8" s="14" customFormat="1" ht="15.75">
      <c r="B49" s="18"/>
      <c r="C49" s="18"/>
      <c r="D49" s="18"/>
      <c r="H49" s="94"/>
    </row>
    <row r="50" spans="2:12" s="14" customFormat="1" ht="15.75">
      <c r="B50" s="31" t="s">
        <v>138</v>
      </c>
      <c r="C50" s="31"/>
      <c r="D50" s="18"/>
      <c r="F50" s="14">
        <v>0</v>
      </c>
      <c r="H50" s="94">
        <f>504072.92-33605</f>
        <v>470467.92</v>
      </c>
      <c r="J50" s="94">
        <f>732062.5+426062.5</f>
        <v>1158125</v>
      </c>
      <c r="L50" s="14">
        <f>225+746062.5</f>
        <v>746287.5</v>
      </c>
    </row>
    <row r="51" spans="2:8" s="14" customFormat="1" ht="15.75">
      <c r="B51" s="18"/>
      <c r="C51" s="18"/>
      <c r="D51" s="18"/>
      <c r="H51" s="94"/>
    </row>
    <row r="52" spans="2:8" s="14" customFormat="1" ht="15.75">
      <c r="B52" s="31" t="s">
        <v>30</v>
      </c>
      <c r="C52" s="31"/>
      <c r="D52" s="31"/>
      <c r="H52" s="94"/>
    </row>
    <row r="53" spans="2:12" s="14" customFormat="1" ht="21">
      <c r="B53" s="32" t="s">
        <v>37</v>
      </c>
      <c r="C53" s="41">
        <v>2</v>
      </c>
      <c r="D53" s="32"/>
      <c r="F53" s="14">
        <f>Footnotes!F39</f>
        <v>33370</v>
      </c>
      <c r="H53" s="94">
        <f>Footnotes!H39</f>
        <v>4746315.2</v>
      </c>
      <c r="J53" s="14">
        <f>Footnotes!J39</f>
        <v>3292911.95</v>
      </c>
      <c r="L53" s="14">
        <f>Footnotes!K39</f>
        <v>1221205.8</v>
      </c>
    </row>
    <row r="54" spans="2:12" s="14" customFormat="1" ht="21">
      <c r="B54" s="33" t="s">
        <v>38</v>
      </c>
      <c r="C54" s="41">
        <v>3</v>
      </c>
      <c r="D54" s="33"/>
      <c r="F54" s="27">
        <f>Footnotes!F78</f>
        <v>1401483.9600000002</v>
      </c>
      <c r="G54" s="26"/>
      <c r="H54" s="102">
        <f>Footnotes!H78</f>
        <v>204370.38999999998</v>
      </c>
      <c r="J54" s="27">
        <f>Footnotes!J78</f>
        <v>2907316.3000000003</v>
      </c>
      <c r="L54" s="27">
        <f>Footnotes!K78</f>
        <v>2448386.8099999996</v>
      </c>
    </row>
    <row r="55" spans="2:12" s="14" customFormat="1" ht="15">
      <c r="B55" s="29" t="s">
        <v>31</v>
      </c>
      <c r="C55" s="29"/>
      <c r="D55" s="29"/>
      <c r="F55" s="14">
        <f>SUM(F53:F54)</f>
        <v>1434853.9600000002</v>
      </c>
      <c r="H55" s="94">
        <f>SUM(H53:H54)</f>
        <v>4950685.59</v>
      </c>
      <c r="J55" s="14">
        <f>SUM(J53:J54)</f>
        <v>6200228.25</v>
      </c>
      <c r="L55" s="14">
        <f>SUM(L53:L54)</f>
        <v>3669592.6099999994</v>
      </c>
    </row>
    <row r="56" spans="2:8" s="14" customFormat="1" ht="15">
      <c r="B56" s="33"/>
      <c r="C56" s="33"/>
      <c r="D56" s="33"/>
      <c r="H56" s="94"/>
    </row>
    <row r="57" spans="2:8" s="14" customFormat="1" ht="15.75">
      <c r="B57" s="31" t="s">
        <v>22</v>
      </c>
      <c r="C57" s="31"/>
      <c r="D57" s="31"/>
      <c r="H57" s="94"/>
    </row>
    <row r="58" spans="2:8" s="14" customFormat="1" ht="15.75">
      <c r="B58" s="14" t="s">
        <v>135</v>
      </c>
      <c r="D58" s="31"/>
      <c r="H58" s="94"/>
    </row>
    <row r="59" spans="2:12" s="14" customFormat="1" ht="15.75">
      <c r="B59" s="33" t="s">
        <v>152</v>
      </c>
      <c r="C59" s="33"/>
      <c r="D59" s="31"/>
      <c r="F59" s="14">
        <f>22482.15+12437.5</f>
        <v>34919.65</v>
      </c>
      <c r="H59" s="94">
        <f>61005+15131</f>
        <v>76136</v>
      </c>
      <c r="J59" s="94">
        <v>62950.5</v>
      </c>
      <c r="L59" s="14">
        <f>13781.25+14964.75+18157.5</f>
        <v>46903.5</v>
      </c>
    </row>
    <row r="60" spans="2:12" s="14" customFormat="1" ht="15.75">
      <c r="B60" s="33" t="s">
        <v>153</v>
      </c>
      <c r="C60" s="33"/>
      <c r="D60" s="31"/>
      <c r="F60" s="67">
        <f>12589.1+12011.25</f>
        <v>24600.35</v>
      </c>
      <c r="H60" s="100">
        <f>9174.5+21170+8502+6675+18831+4000</f>
        <v>68352.5</v>
      </c>
      <c r="J60" s="100">
        <v>42815.6</v>
      </c>
      <c r="L60" s="100">
        <f>16854.75+35856.74+18256.5</f>
        <v>70967.98999999999</v>
      </c>
    </row>
    <row r="61" spans="2:12" s="14" customFormat="1" ht="15.75">
      <c r="B61" s="33" t="s">
        <v>133</v>
      </c>
      <c r="C61" s="33"/>
      <c r="D61" s="31"/>
      <c r="F61" s="27">
        <f>6425.07+5203.58</f>
        <v>11628.65</v>
      </c>
      <c r="H61" s="102">
        <f>4166.69+3982.7+8230.8+5476.7</f>
        <v>21856.89</v>
      </c>
      <c r="J61" s="102">
        <v>15990.97</v>
      </c>
      <c r="L61" s="102">
        <f>2796.46+4712.24+2783.69</f>
        <v>10292.39</v>
      </c>
    </row>
    <row r="62" spans="2:12" s="14" customFormat="1" ht="21">
      <c r="B62" s="29" t="s">
        <v>134</v>
      </c>
      <c r="C62" s="41">
        <v>4</v>
      </c>
      <c r="D62" s="31"/>
      <c r="F62" s="14">
        <f>SUM(F59:F61)</f>
        <v>71148.65</v>
      </c>
      <c r="H62" s="94">
        <f>SUM(H59:H61)</f>
        <v>166345.39</v>
      </c>
      <c r="J62" s="94">
        <f>SUM(J59:J61)</f>
        <v>121757.07</v>
      </c>
      <c r="L62" s="14">
        <f>SUM(L59:L61)</f>
        <v>128163.87999999999</v>
      </c>
    </row>
    <row r="63" spans="2:8" s="14" customFormat="1" ht="15.75">
      <c r="B63" s="29"/>
      <c r="C63" s="29"/>
      <c r="D63" s="31"/>
      <c r="H63" s="94"/>
    </row>
    <row r="64" spans="2:12" s="10" customFormat="1" ht="15">
      <c r="B64" s="21" t="s">
        <v>40</v>
      </c>
      <c r="C64" s="21"/>
      <c r="D64" s="21"/>
      <c r="F64" s="35">
        <v>9318.24</v>
      </c>
      <c r="G64" s="35"/>
      <c r="H64" s="34">
        <f>11305.15+104.77+33.25+1565.77+78.99+72+865.75+708+81.57+16.73+41.34-972</f>
        <v>13901.32</v>
      </c>
      <c r="J64" s="34">
        <f>16663.82+44.63+173.5+26.81+2895.19+127.6+24+1274.08+840+338.29+52.27+84.87+16+168.33</f>
        <v>22729.39</v>
      </c>
      <c r="L64" s="34">
        <f>2777.45+201.54+136.3+61.52+217.46+48.75+570.79+33.89+6.29+558.92+19.86+648+90+309.41+1503+65.19+10.64+4.27</f>
        <v>7263.28</v>
      </c>
    </row>
    <row r="65" spans="2:12" s="10" customFormat="1" ht="15">
      <c r="B65" s="21" t="s">
        <v>146</v>
      </c>
      <c r="C65" s="21"/>
      <c r="D65" s="21"/>
      <c r="F65" s="51">
        <v>0</v>
      </c>
      <c r="G65" s="35"/>
      <c r="H65" s="97">
        <v>0</v>
      </c>
      <c r="J65" s="34">
        <f>990+600+307+206.25+8.21</f>
        <v>2111.46</v>
      </c>
      <c r="L65" s="34">
        <v>525</v>
      </c>
    </row>
    <row r="66" spans="2:12" s="10" customFormat="1" ht="15">
      <c r="B66" s="21" t="s">
        <v>115</v>
      </c>
      <c r="C66" s="21"/>
      <c r="D66" s="21"/>
      <c r="F66" s="35">
        <v>28539</v>
      </c>
      <c r="G66" s="35"/>
      <c r="H66" s="34">
        <f>9473.75+10221.25</f>
        <v>19695</v>
      </c>
      <c r="J66" s="97">
        <v>0</v>
      </c>
      <c r="L66" s="51">
        <v>0</v>
      </c>
    </row>
    <row r="67" spans="2:12" s="10" customFormat="1" ht="15">
      <c r="B67" s="21" t="s">
        <v>116</v>
      </c>
      <c r="C67" s="21"/>
      <c r="D67" s="21"/>
      <c r="F67" s="35">
        <v>6245.3</v>
      </c>
      <c r="G67" s="35"/>
      <c r="H67" s="97">
        <v>0</v>
      </c>
      <c r="J67" s="97">
        <v>0</v>
      </c>
      <c r="L67" s="51">
        <v>0</v>
      </c>
    </row>
    <row r="68" spans="2:12" s="10" customFormat="1" ht="15">
      <c r="B68" s="21" t="s">
        <v>171</v>
      </c>
      <c r="C68" s="21"/>
      <c r="D68" s="21"/>
      <c r="F68" s="97">
        <v>0</v>
      </c>
      <c r="G68" s="35"/>
      <c r="H68" s="97">
        <v>0</v>
      </c>
      <c r="J68" s="97">
        <v>0</v>
      </c>
      <c r="L68" s="34">
        <v>200</v>
      </c>
    </row>
    <row r="69" spans="2:12" s="10" customFormat="1" ht="15">
      <c r="B69" s="21" t="s">
        <v>25</v>
      </c>
      <c r="C69" s="21"/>
      <c r="D69" s="21"/>
      <c r="F69" s="35">
        <v>500</v>
      </c>
      <c r="G69" s="35"/>
      <c r="H69" s="97">
        <v>0</v>
      </c>
      <c r="J69" s="97">
        <v>0</v>
      </c>
      <c r="L69" s="51">
        <v>0</v>
      </c>
    </row>
    <row r="70" spans="2:12" s="10" customFormat="1" ht="15">
      <c r="B70" s="21" t="s">
        <v>41</v>
      </c>
      <c r="C70" s="21"/>
      <c r="D70" s="21"/>
      <c r="F70" s="51">
        <v>0</v>
      </c>
      <c r="G70" s="35"/>
      <c r="H70" s="34">
        <v>2045.04</v>
      </c>
      <c r="J70" s="34">
        <v>2520</v>
      </c>
      <c r="L70" s="34">
        <v>9459</v>
      </c>
    </row>
    <row r="71" spans="2:12" s="10" customFormat="1" ht="15">
      <c r="B71" s="21" t="s">
        <v>26</v>
      </c>
      <c r="C71" s="21"/>
      <c r="D71" s="21"/>
      <c r="F71" s="35">
        <v>1428</v>
      </c>
      <c r="G71" s="35"/>
      <c r="H71" s="34">
        <v>2664</v>
      </c>
      <c r="J71" s="34">
        <v>2844</v>
      </c>
      <c r="L71" s="34">
        <v>1665</v>
      </c>
    </row>
    <row r="72" spans="2:12" s="10" customFormat="1" ht="15">
      <c r="B72" s="21" t="s">
        <v>141</v>
      </c>
      <c r="C72" s="21"/>
      <c r="D72" s="21"/>
      <c r="F72" s="35">
        <v>768.64</v>
      </c>
      <c r="G72" s="35"/>
      <c r="H72" s="97">
        <v>0</v>
      </c>
      <c r="J72" s="34">
        <v>36.29</v>
      </c>
      <c r="L72" s="34">
        <v>2752.2</v>
      </c>
    </row>
    <row r="73" spans="2:12" s="10" customFormat="1" ht="15">
      <c r="B73" s="21" t="s">
        <v>27</v>
      </c>
      <c r="C73" s="21"/>
      <c r="D73" s="21"/>
      <c r="F73" s="35">
        <v>21.03</v>
      </c>
      <c r="G73" s="35"/>
      <c r="H73" s="97">
        <v>0</v>
      </c>
      <c r="J73" s="51">
        <v>0</v>
      </c>
      <c r="L73" s="51">
        <v>0</v>
      </c>
    </row>
    <row r="74" spans="2:12" s="10" customFormat="1" ht="15">
      <c r="B74" s="21" t="s">
        <v>28</v>
      </c>
      <c r="C74" s="21"/>
      <c r="D74" s="21"/>
      <c r="F74" s="39">
        <f>105.32+120+23</f>
        <v>248.32</v>
      </c>
      <c r="G74" s="39"/>
      <c r="H74" s="103">
        <f>70.83+13.59</f>
        <v>84.42</v>
      </c>
      <c r="J74" s="51">
        <v>-2138</v>
      </c>
      <c r="L74" s="51">
        <v>0</v>
      </c>
    </row>
    <row r="75" spans="2:12" s="12" customFormat="1" ht="15">
      <c r="B75" s="23" t="s">
        <v>39</v>
      </c>
      <c r="C75" s="23"/>
      <c r="D75" s="23"/>
      <c r="F75" s="52">
        <v>0</v>
      </c>
      <c r="G75" s="34"/>
      <c r="H75" s="40">
        <v>87864.8</v>
      </c>
      <c r="J75" s="52">
        <v>0</v>
      </c>
      <c r="L75" s="52">
        <v>0</v>
      </c>
    </row>
    <row r="76" spans="2:12" s="12" customFormat="1" ht="15.75">
      <c r="B76" s="150" t="s">
        <v>200</v>
      </c>
      <c r="C76" s="23"/>
      <c r="D76" s="23"/>
      <c r="F76" s="10">
        <f>SUM(F64:F75)</f>
        <v>47068.53</v>
      </c>
      <c r="G76" s="34"/>
      <c r="H76" s="10">
        <f>SUM(H64:H75)</f>
        <v>126254.58</v>
      </c>
      <c r="J76" s="10">
        <f>SUM(J64:J75)</f>
        <v>28103.14</v>
      </c>
      <c r="L76" s="10">
        <f>SUM(L64:L75)</f>
        <v>21864.48</v>
      </c>
    </row>
    <row r="77" spans="2:12" s="12" customFormat="1" ht="15.75">
      <c r="B77" s="150"/>
      <c r="C77" s="23"/>
      <c r="D77" s="23"/>
      <c r="F77" s="10"/>
      <c r="G77" s="34"/>
      <c r="H77" s="10"/>
      <c r="J77" s="10"/>
      <c r="L77" s="10"/>
    </row>
    <row r="78" spans="2:12" s="10" customFormat="1" ht="21">
      <c r="B78" s="69" t="s">
        <v>23</v>
      </c>
      <c r="C78" s="41"/>
      <c r="D78" s="36"/>
      <c r="F78" s="10">
        <f>F62+F76</f>
        <v>118217.18</v>
      </c>
      <c r="G78" s="10">
        <f>SUM(G64:G75)</f>
        <v>0</v>
      </c>
      <c r="H78" s="10">
        <f>H76+H62</f>
        <v>292599.97000000003</v>
      </c>
      <c r="J78" s="10">
        <f>J76+J62</f>
        <v>149860.21000000002</v>
      </c>
      <c r="L78" s="10">
        <f>L76+L62</f>
        <v>150028.36</v>
      </c>
    </row>
    <row r="79" spans="6:12" s="14" customFormat="1" ht="13.5" customHeight="1">
      <c r="F79" s="12"/>
      <c r="G79" s="15"/>
      <c r="H79" s="12"/>
      <c r="J79" s="93"/>
      <c r="L79" s="93"/>
    </row>
    <row r="80" spans="2:12" s="10" customFormat="1" ht="15.75">
      <c r="B80" s="19" t="s">
        <v>12</v>
      </c>
      <c r="C80" s="19"/>
      <c r="F80" s="16">
        <f>F78+F55+F50</f>
        <v>1553071.1400000001</v>
      </c>
      <c r="G80" s="11">
        <f>G78+G55+G50+G62</f>
        <v>0</v>
      </c>
      <c r="H80" s="16">
        <f>H78+H55+H50</f>
        <v>5713753.4799999995</v>
      </c>
      <c r="J80" s="16">
        <f>J78+J55+J50</f>
        <v>7508213.46</v>
      </c>
      <c r="L80" s="16">
        <f>L78+L55+L50</f>
        <v>4565908.469999999</v>
      </c>
    </row>
    <row r="81" spans="6:16" s="14" customFormat="1" ht="15">
      <c r="F81" s="10"/>
      <c r="G81" s="10"/>
      <c r="H81" s="10"/>
      <c r="I81" s="10"/>
      <c r="J81" s="10"/>
      <c r="K81" s="10"/>
      <c r="L81" s="10"/>
      <c r="M81" s="10"/>
      <c r="N81" s="10"/>
      <c r="O81" s="10"/>
      <c r="P81" s="10"/>
    </row>
    <row r="82" spans="2:16" s="14" customFormat="1" ht="21.75" thickBot="1">
      <c r="B82" s="31" t="s">
        <v>29</v>
      </c>
      <c r="C82" s="41">
        <v>5</v>
      </c>
      <c r="F82" s="37">
        <f>F46-F80</f>
        <v>1209340.58</v>
      </c>
      <c r="G82" s="12"/>
      <c r="H82" s="37">
        <f>H46-H80</f>
        <v>17357099.78</v>
      </c>
      <c r="I82" s="12"/>
      <c r="J82" s="37">
        <f>J46-J80</f>
        <v>-2940193.869999999</v>
      </c>
      <c r="K82" s="12"/>
      <c r="L82" s="37">
        <f>L46-L80</f>
        <v>-1079321.4399999985</v>
      </c>
      <c r="M82" s="12"/>
      <c r="N82" s="12"/>
      <c r="O82" s="12"/>
      <c r="P82" s="12"/>
    </row>
    <row r="83" spans="6:16" s="14" customFormat="1" ht="15.75" thickTop="1">
      <c r="F83" s="12"/>
      <c r="G83" s="12"/>
      <c r="H83" s="12"/>
      <c r="I83" s="12"/>
      <c r="J83" s="12"/>
      <c r="K83" s="12"/>
      <c r="L83" s="12"/>
      <c r="M83" s="12"/>
      <c r="N83" s="12"/>
      <c r="O83" s="12"/>
      <c r="P83" s="12"/>
    </row>
    <row r="84" spans="2:16" s="14" customFormat="1" ht="15.75">
      <c r="B84" s="18" t="s">
        <v>42</v>
      </c>
      <c r="C84" s="18"/>
      <c r="F84" s="12"/>
      <c r="G84" s="12"/>
      <c r="H84" s="12"/>
      <c r="I84" s="12"/>
      <c r="J84" s="12"/>
      <c r="K84" s="12"/>
      <c r="L84" s="12"/>
      <c r="M84" s="12"/>
      <c r="N84" s="12"/>
      <c r="O84" s="12"/>
      <c r="P84" s="12"/>
    </row>
    <row r="85" spans="2:16" s="14" customFormat="1" ht="15">
      <c r="B85" s="33" t="s">
        <v>173</v>
      </c>
      <c r="C85" s="33"/>
      <c r="D85" s="15">
        <v>4260286</v>
      </c>
      <c r="F85" s="15">
        <f>F82+D85</f>
        <v>5469626.58</v>
      </c>
      <c r="G85" s="38"/>
      <c r="H85" s="15">
        <f>H82+F85</f>
        <v>22826726.36</v>
      </c>
      <c r="I85" s="38"/>
      <c r="J85" s="15">
        <f>J82+H85</f>
        <v>19886532.490000002</v>
      </c>
      <c r="L85" s="15">
        <f>L82+J85</f>
        <v>18807211.050000004</v>
      </c>
      <c r="M85" s="38"/>
      <c r="N85" s="38"/>
      <c r="O85" s="38"/>
      <c r="P85" s="38"/>
    </row>
    <row r="86" spans="6:14" s="14" customFormat="1" ht="15">
      <c r="F86" s="11"/>
      <c r="H86" s="11"/>
      <c r="J86" s="11"/>
      <c r="L86" s="11"/>
      <c r="N86" s="11"/>
    </row>
    <row r="87" spans="8:10" s="14" customFormat="1" ht="15" hidden="1">
      <c r="H87" s="14">
        <v>22826726</v>
      </c>
      <c r="J87" s="14">
        <v>22109955</v>
      </c>
    </row>
    <row r="88" ht="15" hidden="1"/>
    <row r="89" spans="2:10" ht="15" hidden="1">
      <c r="B89" s="14"/>
      <c r="C89" s="14"/>
      <c r="F89" s="14"/>
      <c r="H89" s="14">
        <f>+H87-H85</f>
        <v>-0.35999999940395355</v>
      </c>
      <c r="J89" s="14">
        <f>+J87-J85</f>
        <v>2223422.509999998</v>
      </c>
    </row>
    <row r="90" ht="15" hidden="1">
      <c r="J90" s="14">
        <v>2223423</v>
      </c>
    </row>
    <row r="91" ht="15" hidden="1">
      <c r="J91" s="14">
        <f>+J89-J90</f>
        <v>-0.49000000208616257</v>
      </c>
    </row>
    <row r="96" ht="15">
      <c r="D96" s="14"/>
    </row>
  </sheetData>
  <sheetProtection/>
  <printOptions/>
  <pageMargins left="0.25" right="0.25" top="0.5" bottom="0.5" header="0.5" footer="0.5"/>
  <pageSetup fitToHeight="1" fitToWidth="1" horizontalDpi="600" verticalDpi="600" orientation="portrait" scale="67" r:id="rId4"/>
  <headerFooter alignWithMargins="0">
    <oddFooter>&amp;L&amp;8&amp;F&amp;R&amp;8&amp;D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21"/>
  <sheetViews>
    <sheetView zoomScale="75" zoomScaleNormal="75" zoomScaleSheetLayoutView="75" zoomScalePageLayoutView="75" workbookViewId="0" topLeftCell="A1">
      <selection activeCell="B122" sqref="B122"/>
    </sheetView>
  </sheetViews>
  <sheetFormatPr defaultColWidth="9.140625" defaultRowHeight="12.75"/>
  <cols>
    <col min="1" max="1" width="9.140625" style="5" customWidth="1"/>
    <col min="2" max="2" width="21.421875" style="5" customWidth="1"/>
    <col min="3" max="3" width="33.140625" style="5" customWidth="1"/>
    <col min="4" max="4" width="21.8515625" style="5" hidden="1" customWidth="1"/>
    <col min="5" max="5" width="2.28125" style="5" customWidth="1"/>
    <col min="6" max="6" width="18.57421875" style="5" bestFit="1" customWidth="1"/>
    <col min="7" max="7" width="2.140625" style="5" customWidth="1"/>
    <col min="8" max="8" width="18.28125" style="5" bestFit="1" customWidth="1"/>
    <col min="9" max="9" width="1.7109375" style="5" customWidth="1"/>
    <col min="10" max="11" width="19.28125" style="5" customWidth="1"/>
    <col min="12" max="12" width="19.00390625" style="5" bestFit="1" customWidth="1"/>
    <col min="13" max="13" width="9.140625" style="5" customWidth="1"/>
    <col min="14" max="14" width="14.8515625" style="5" bestFit="1" customWidth="1"/>
    <col min="15" max="16384" width="9.140625" style="5" customWidth="1"/>
  </cols>
  <sheetData>
    <row r="1" spans="1:12" s="46" customFormat="1" ht="12.75">
      <c r="A1" s="42" t="s">
        <v>102</v>
      </c>
      <c r="B1" s="42"/>
      <c r="C1" s="42"/>
      <c r="D1" s="42"/>
      <c r="E1" s="42"/>
      <c r="F1" s="42"/>
      <c r="G1" s="42"/>
      <c r="H1" s="42"/>
      <c r="I1" s="42"/>
      <c r="J1" s="42"/>
      <c r="K1" s="42"/>
      <c r="L1" s="42"/>
    </row>
    <row r="2" spans="1:12" s="47" customFormat="1" ht="12.75">
      <c r="A2" s="44" t="s">
        <v>44</v>
      </c>
      <c r="B2" s="44"/>
      <c r="C2" s="44"/>
      <c r="D2" s="44"/>
      <c r="E2" s="44"/>
      <c r="F2" s="44"/>
      <c r="G2" s="44"/>
      <c r="H2" s="44"/>
      <c r="I2" s="44"/>
      <c r="J2" s="44"/>
      <c r="K2" s="44"/>
      <c r="L2" s="44"/>
    </row>
    <row r="3" spans="1:12" s="47" customFormat="1" ht="12.75">
      <c r="A3" s="44"/>
      <c r="B3" s="44"/>
      <c r="C3" s="44"/>
      <c r="D3" s="44"/>
      <c r="E3" s="44"/>
      <c r="F3" s="44"/>
      <c r="G3" s="44"/>
      <c r="H3" s="44"/>
      <c r="I3" s="44"/>
      <c r="J3" s="44"/>
      <c r="K3" s="44"/>
      <c r="L3" s="44"/>
    </row>
    <row r="4" spans="1:16" s="3" customFormat="1" ht="30" customHeight="1">
      <c r="A4" s="89" t="s">
        <v>103</v>
      </c>
      <c r="B4" s="152" t="s">
        <v>43</v>
      </c>
      <c r="C4" s="152"/>
      <c r="D4" s="152"/>
      <c r="E4" s="152"/>
      <c r="F4" s="152"/>
      <c r="G4" s="152"/>
      <c r="H4" s="152"/>
      <c r="I4" s="152"/>
      <c r="J4" s="152"/>
      <c r="K4" s="152"/>
      <c r="L4" s="152"/>
      <c r="M4" s="76"/>
      <c r="N4" s="76"/>
      <c r="O4" s="76"/>
      <c r="P4" s="76"/>
    </row>
    <row r="5" s="3" customFormat="1" ht="15.75" customHeight="1"/>
    <row r="6" spans="1:12" s="54" customFormat="1" ht="13.5" customHeight="1">
      <c r="A6" s="65" t="s">
        <v>104</v>
      </c>
      <c r="B6" s="53" t="s">
        <v>45</v>
      </c>
      <c r="C6" s="55"/>
      <c r="D6" s="55"/>
      <c r="E6" s="55"/>
      <c r="F6" s="56"/>
      <c r="G6" s="56"/>
      <c r="H6" s="56"/>
      <c r="I6" s="56"/>
      <c r="J6" s="56"/>
      <c r="K6" s="56"/>
      <c r="L6" s="57"/>
    </row>
    <row r="7" spans="1:12" s="54" customFormat="1" ht="13.5" customHeight="1">
      <c r="A7" s="65"/>
      <c r="B7" s="90" t="s">
        <v>122</v>
      </c>
      <c r="C7" s="59"/>
      <c r="D7" s="59"/>
      <c r="E7" s="59"/>
      <c r="F7" s="60"/>
      <c r="G7" s="60"/>
      <c r="H7" s="60"/>
      <c r="I7" s="60"/>
      <c r="J7" s="60"/>
      <c r="K7" s="60"/>
      <c r="L7" s="57"/>
    </row>
    <row r="8" spans="2:12" s="54" customFormat="1" ht="15.75">
      <c r="B8" s="53"/>
      <c r="C8" s="73" t="s">
        <v>46</v>
      </c>
      <c r="D8" s="55"/>
      <c r="E8" s="55"/>
      <c r="F8" s="74" t="s">
        <v>33</v>
      </c>
      <c r="G8" s="56"/>
      <c r="H8" s="74" t="s">
        <v>34</v>
      </c>
      <c r="I8" s="56"/>
      <c r="J8" s="74" t="s">
        <v>145</v>
      </c>
      <c r="K8" s="74" t="s">
        <v>160</v>
      </c>
      <c r="L8" s="75" t="s">
        <v>32</v>
      </c>
    </row>
    <row r="9" spans="2:12" s="3" customFormat="1" ht="15">
      <c r="B9" s="59"/>
      <c r="C9" s="59" t="s">
        <v>52</v>
      </c>
      <c r="D9" s="59"/>
      <c r="E9" s="59"/>
      <c r="F9" s="60">
        <f>500+190+2200+1600</f>
        <v>4490</v>
      </c>
      <c r="G9" s="60"/>
      <c r="H9" s="60">
        <f>1918833.4+4500</f>
        <v>1923333.4</v>
      </c>
      <c r="I9" s="60"/>
      <c r="J9" s="60">
        <v>0</v>
      </c>
      <c r="K9" s="60">
        <v>0</v>
      </c>
      <c r="L9" s="60">
        <f>SUM(F9:K9)</f>
        <v>1927823.4</v>
      </c>
    </row>
    <row r="10" spans="2:12" s="3" customFormat="1" ht="15" hidden="1">
      <c r="B10" s="59"/>
      <c r="C10" s="59"/>
      <c r="D10" s="59" t="s">
        <v>48</v>
      </c>
      <c r="E10" s="59"/>
      <c r="F10" s="60">
        <v>0</v>
      </c>
      <c r="G10" s="60"/>
      <c r="H10" s="60"/>
      <c r="I10" s="60"/>
      <c r="J10" s="60"/>
      <c r="K10" s="60"/>
      <c r="L10" s="60">
        <f>SUM(F10:J10)</f>
        <v>0</v>
      </c>
    </row>
    <row r="11" spans="2:12" s="3" customFormat="1" ht="15.75">
      <c r="B11" s="59"/>
      <c r="C11" s="55" t="s">
        <v>149</v>
      </c>
      <c r="D11" s="59"/>
      <c r="E11" s="59"/>
      <c r="F11" s="70">
        <v>0</v>
      </c>
      <c r="G11" s="60"/>
      <c r="H11" s="70">
        <v>0</v>
      </c>
      <c r="I11" s="60"/>
      <c r="J11" s="95">
        <v>23867</v>
      </c>
      <c r="K11" s="95">
        <v>0</v>
      </c>
      <c r="L11" s="70">
        <f>SUM(F11:K11)</f>
        <v>23867</v>
      </c>
    </row>
    <row r="12" spans="2:12" s="3" customFormat="1" ht="15">
      <c r="B12" s="59"/>
      <c r="C12" s="59" t="s">
        <v>55</v>
      </c>
      <c r="D12" s="59" t="s">
        <v>55</v>
      </c>
      <c r="E12" s="59"/>
      <c r="F12" s="70">
        <v>3200</v>
      </c>
      <c r="G12" s="70"/>
      <c r="H12" s="70">
        <v>500</v>
      </c>
      <c r="I12" s="70"/>
      <c r="J12" s="70">
        <f>3125+4200+2417183.2+2000+500+551</f>
        <v>2427559.2</v>
      </c>
      <c r="K12" s="70">
        <v>0</v>
      </c>
      <c r="L12" s="70">
        <f aca="true" t="shared" si="0" ref="L12:L38">SUM(F12:K12)</f>
        <v>2431259.2</v>
      </c>
    </row>
    <row r="13" spans="2:12" s="3" customFormat="1" ht="15.75">
      <c r="B13" s="59"/>
      <c r="C13" s="55" t="s">
        <v>147</v>
      </c>
      <c r="D13" s="59"/>
      <c r="E13" s="59"/>
      <c r="F13" s="70">
        <v>0</v>
      </c>
      <c r="G13" s="70"/>
      <c r="H13" s="70">
        <v>0</v>
      </c>
      <c r="I13" s="70"/>
      <c r="J13" s="95">
        <v>23867</v>
      </c>
      <c r="K13" s="95">
        <v>0</v>
      </c>
      <c r="L13" s="70">
        <f t="shared" si="0"/>
        <v>23867</v>
      </c>
    </row>
    <row r="14" spans="2:12" s="3" customFormat="1" ht="15">
      <c r="B14" s="59"/>
      <c r="C14" s="59" t="s">
        <v>59</v>
      </c>
      <c r="D14" s="59"/>
      <c r="E14" s="59"/>
      <c r="F14" s="71">
        <f>500+95+2000+1400</f>
        <v>3995</v>
      </c>
      <c r="G14" s="71"/>
      <c r="H14" s="70">
        <f>3320+363.5+799170+1900</f>
        <v>804753.5</v>
      </c>
      <c r="I14" s="70"/>
      <c r="J14" s="70">
        <v>0</v>
      </c>
      <c r="K14" s="70">
        <v>0</v>
      </c>
      <c r="L14" s="70">
        <f t="shared" si="0"/>
        <v>808748.5</v>
      </c>
    </row>
    <row r="15" spans="2:12" s="3" customFormat="1" ht="15" hidden="1">
      <c r="B15" s="59"/>
      <c r="C15" s="59"/>
      <c r="D15" s="59" t="s">
        <v>51</v>
      </c>
      <c r="E15" s="59"/>
      <c r="F15" s="70"/>
      <c r="G15" s="70"/>
      <c r="H15" s="70"/>
      <c r="I15" s="70"/>
      <c r="J15" s="70"/>
      <c r="K15" s="70"/>
      <c r="L15" s="70">
        <f t="shared" si="0"/>
        <v>0</v>
      </c>
    </row>
    <row r="16" spans="2:12" s="3" customFormat="1" ht="15">
      <c r="B16" s="59"/>
      <c r="C16" s="59" t="s">
        <v>60</v>
      </c>
      <c r="D16" s="59"/>
      <c r="E16" s="59"/>
      <c r="F16" s="71">
        <f>500+95+2500+1600</f>
        <v>4695</v>
      </c>
      <c r="G16" s="71"/>
      <c r="H16" s="70">
        <f>6170+363.5+1983274.8+800+2100</f>
        <v>1992708.3</v>
      </c>
      <c r="I16" s="70"/>
      <c r="J16" s="70">
        <v>0</v>
      </c>
      <c r="K16" s="70">
        <v>0</v>
      </c>
      <c r="L16" s="70">
        <f t="shared" si="0"/>
        <v>1997403.3</v>
      </c>
    </row>
    <row r="17" spans="2:12" s="3" customFormat="1" ht="15.75">
      <c r="B17" s="59"/>
      <c r="C17" s="55" t="s">
        <v>148</v>
      </c>
      <c r="D17" s="59"/>
      <c r="E17" s="59"/>
      <c r="F17" s="71">
        <v>0</v>
      </c>
      <c r="G17" s="71"/>
      <c r="H17" s="70">
        <v>0</v>
      </c>
      <c r="I17" s="70"/>
      <c r="J17" s="95">
        <v>47733</v>
      </c>
      <c r="K17" s="95">
        <v>0</v>
      </c>
      <c r="L17" s="70">
        <f t="shared" si="0"/>
        <v>47733</v>
      </c>
    </row>
    <row r="18" spans="2:12" s="3" customFormat="1" ht="15.75">
      <c r="B18" s="59"/>
      <c r="C18" s="59" t="s">
        <v>164</v>
      </c>
      <c r="D18" s="59"/>
      <c r="E18" s="59"/>
      <c r="F18" s="71"/>
      <c r="G18" s="71"/>
      <c r="H18" s="70"/>
      <c r="I18" s="70"/>
      <c r="J18" s="95"/>
      <c r="K18" s="70">
        <v>192750</v>
      </c>
      <c r="L18" s="70">
        <f t="shared" si="0"/>
        <v>192750</v>
      </c>
    </row>
    <row r="19" spans="2:12" s="3" customFormat="1" ht="15">
      <c r="B19" s="59"/>
      <c r="C19" s="59" t="s">
        <v>167</v>
      </c>
      <c r="D19" s="59" t="s">
        <v>47</v>
      </c>
      <c r="E19" s="59"/>
      <c r="F19" s="70">
        <f>3200+500</f>
        <v>3700</v>
      </c>
      <c r="G19" s="70"/>
      <c r="H19" s="70">
        <f>300+500+500</f>
        <v>1300</v>
      </c>
      <c r="I19" s="70"/>
      <c r="J19" s="70">
        <f>150+2480+500</f>
        <v>3130</v>
      </c>
      <c r="K19" s="70">
        <f>1026208+119.8+1642.5+30.5</f>
        <v>1028000.8</v>
      </c>
      <c r="L19" s="70">
        <f t="shared" si="0"/>
        <v>1036130.8</v>
      </c>
    </row>
    <row r="20" spans="2:12" s="3" customFormat="1" ht="15">
      <c r="B20" s="59"/>
      <c r="C20" s="59" t="s">
        <v>63</v>
      </c>
      <c r="D20" s="59"/>
      <c r="E20" s="59"/>
      <c r="F20" s="71">
        <v>0</v>
      </c>
      <c r="G20" s="71"/>
      <c r="H20" s="70">
        <v>0</v>
      </c>
      <c r="I20" s="70"/>
      <c r="J20" s="70">
        <f>4050+756885.75</f>
        <v>760935.75</v>
      </c>
      <c r="K20" s="70">
        <v>0</v>
      </c>
      <c r="L20" s="70">
        <f t="shared" si="0"/>
        <v>760935.75</v>
      </c>
    </row>
    <row r="21" spans="2:12" s="3" customFormat="1" ht="15">
      <c r="B21" s="59"/>
      <c r="C21" s="59" t="s">
        <v>49</v>
      </c>
      <c r="D21" s="59" t="s">
        <v>50</v>
      </c>
      <c r="E21" s="59"/>
      <c r="F21" s="70">
        <f>500+190+2000+1600</f>
        <v>4290</v>
      </c>
      <c r="G21" s="70"/>
      <c r="H21" s="70">
        <v>0</v>
      </c>
      <c r="I21" s="70"/>
      <c r="J21" s="70">
        <v>0</v>
      </c>
      <c r="K21" s="70">
        <v>0</v>
      </c>
      <c r="L21" s="70">
        <f t="shared" si="0"/>
        <v>4290</v>
      </c>
    </row>
    <row r="22" spans="2:12" s="3" customFormat="1" ht="15">
      <c r="B22" s="59"/>
      <c r="C22" s="64" t="s">
        <v>88</v>
      </c>
      <c r="D22" s="59" t="s">
        <v>89</v>
      </c>
      <c r="E22" s="59"/>
      <c r="F22" s="70">
        <v>0</v>
      </c>
      <c r="G22" s="70"/>
      <c r="H22" s="70">
        <f>2700+500</f>
        <v>3200</v>
      </c>
      <c r="I22" s="70"/>
      <c r="J22" s="70">
        <v>0</v>
      </c>
      <c r="K22" s="70">
        <v>0</v>
      </c>
      <c r="L22" s="70">
        <f>SUM(F22:K22)</f>
        <v>3200</v>
      </c>
    </row>
    <row r="23" spans="2:12" s="3" customFormat="1" ht="15">
      <c r="B23" s="59"/>
      <c r="C23" s="59" t="s">
        <v>92</v>
      </c>
      <c r="D23" s="59"/>
      <c r="E23" s="59"/>
      <c r="F23" s="70">
        <v>0</v>
      </c>
      <c r="G23" s="70"/>
      <c r="H23" s="70">
        <f>190+925+500+3200</f>
        <v>4815</v>
      </c>
      <c r="I23" s="70"/>
      <c r="J23" s="70">
        <v>0</v>
      </c>
      <c r="K23" s="70">
        <v>0</v>
      </c>
      <c r="L23" s="70">
        <f t="shared" si="0"/>
        <v>4815</v>
      </c>
    </row>
    <row r="24" spans="2:12" s="3" customFormat="1" ht="15" hidden="1">
      <c r="B24" s="59"/>
      <c r="C24" s="59"/>
      <c r="D24" s="59" t="s">
        <v>58</v>
      </c>
      <c r="E24" s="59"/>
      <c r="F24" s="71"/>
      <c r="G24" s="71"/>
      <c r="H24" s="70"/>
      <c r="I24" s="70"/>
      <c r="J24" s="70"/>
      <c r="K24" s="70"/>
      <c r="L24" s="70">
        <f t="shared" si="0"/>
        <v>0</v>
      </c>
    </row>
    <row r="25" spans="2:12" s="3" customFormat="1" ht="13.5" customHeight="1">
      <c r="B25" s="59"/>
      <c r="C25" s="59" t="s">
        <v>53</v>
      </c>
      <c r="D25" s="59" t="s">
        <v>54</v>
      </c>
      <c r="E25" s="59"/>
      <c r="F25" s="70">
        <f>4600+500</f>
        <v>5100</v>
      </c>
      <c r="G25" s="70"/>
      <c r="H25" s="70">
        <v>500</v>
      </c>
      <c r="I25" s="70"/>
      <c r="J25" s="70">
        <v>0</v>
      </c>
      <c r="K25" s="70">
        <v>0</v>
      </c>
      <c r="L25" s="70">
        <f t="shared" si="0"/>
        <v>5600</v>
      </c>
    </row>
    <row r="26" spans="2:12" s="3" customFormat="1" ht="15">
      <c r="B26" s="59"/>
      <c r="C26" s="59" t="s">
        <v>56</v>
      </c>
      <c r="D26" s="59" t="s">
        <v>57</v>
      </c>
      <c r="E26" s="59"/>
      <c r="F26" s="70">
        <f>3400+500</f>
        <v>3900</v>
      </c>
      <c r="G26" s="70"/>
      <c r="H26" s="70">
        <f>190+500</f>
        <v>690</v>
      </c>
      <c r="I26" s="70"/>
      <c r="J26" s="70">
        <v>0</v>
      </c>
      <c r="K26" s="70">
        <v>0</v>
      </c>
      <c r="L26" s="70">
        <f t="shared" si="0"/>
        <v>4590</v>
      </c>
    </row>
    <row r="27" spans="2:12" s="3" customFormat="1" ht="15" hidden="1">
      <c r="B27" s="59"/>
      <c r="C27" s="59"/>
      <c r="D27" s="59" t="s">
        <v>61</v>
      </c>
      <c r="E27" s="59"/>
      <c r="F27" s="71"/>
      <c r="G27" s="71"/>
      <c r="H27" s="70"/>
      <c r="I27" s="70"/>
      <c r="J27" s="70"/>
      <c r="K27" s="70"/>
      <c r="L27" s="70">
        <f t="shared" si="0"/>
        <v>0</v>
      </c>
    </row>
    <row r="28" spans="2:12" s="3" customFormat="1" ht="15" hidden="1">
      <c r="B28" s="59"/>
      <c r="C28" s="59"/>
      <c r="D28" s="59" t="s">
        <v>62</v>
      </c>
      <c r="E28" s="59"/>
      <c r="F28" s="71"/>
      <c r="G28" s="71"/>
      <c r="H28" s="70"/>
      <c r="I28" s="70"/>
      <c r="J28" s="70"/>
      <c r="K28" s="70"/>
      <c r="L28" s="70">
        <f t="shared" si="0"/>
        <v>0</v>
      </c>
    </row>
    <row r="29" spans="2:12" s="3" customFormat="1" ht="15" hidden="1">
      <c r="B29" s="59"/>
      <c r="C29" s="59"/>
      <c r="D29" s="59" t="s">
        <v>63</v>
      </c>
      <c r="E29" s="59"/>
      <c r="F29" s="71"/>
      <c r="G29" s="71"/>
      <c r="H29" s="70"/>
      <c r="I29" s="70"/>
      <c r="J29" s="70"/>
      <c r="K29" s="70"/>
      <c r="L29" s="70">
        <f t="shared" si="0"/>
        <v>0</v>
      </c>
    </row>
    <row r="30" spans="2:12" s="3" customFormat="1" ht="15">
      <c r="B30" s="59"/>
      <c r="C30" s="59" t="s">
        <v>130</v>
      </c>
      <c r="D30" s="59"/>
      <c r="E30" s="59"/>
      <c r="F30" s="71">
        <v>0</v>
      </c>
      <c r="G30" s="71"/>
      <c r="H30" s="70">
        <v>500</v>
      </c>
      <c r="I30" s="70"/>
      <c r="J30" s="70">
        <v>190</v>
      </c>
      <c r="K30" s="70">
        <v>0</v>
      </c>
      <c r="L30" s="70">
        <f t="shared" si="0"/>
        <v>690</v>
      </c>
    </row>
    <row r="31" spans="2:12" s="3" customFormat="1" ht="15">
      <c r="B31" s="59"/>
      <c r="C31" s="59" t="s">
        <v>131</v>
      </c>
      <c r="D31" s="59"/>
      <c r="E31" s="59"/>
      <c r="F31" s="71">
        <v>0</v>
      </c>
      <c r="G31" s="71"/>
      <c r="H31" s="70">
        <v>500</v>
      </c>
      <c r="I31" s="70"/>
      <c r="J31" s="70">
        <v>0</v>
      </c>
      <c r="K31" s="70">
        <v>0</v>
      </c>
      <c r="L31" s="70">
        <f t="shared" si="0"/>
        <v>500</v>
      </c>
    </row>
    <row r="32" spans="2:12" s="3" customFormat="1" ht="15">
      <c r="B32" s="59"/>
      <c r="C32" s="59" t="s">
        <v>64</v>
      </c>
      <c r="D32" s="59" t="s">
        <v>65</v>
      </c>
      <c r="E32" s="59"/>
      <c r="F32" s="71">
        <v>0</v>
      </c>
      <c r="G32" s="71"/>
      <c r="H32" s="70">
        <f>3200+190+500</f>
        <v>3890</v>
      </c>
      <c r="I32" s="70"/>
      <c r="J32" s="70">
        <v>0</v>
      </c>
      <c r="K32" s="70">
        <v>0</v>
      </c>
      <c r="L32" s="70">
        <f t="shared" si="0"/>
        <v>3890</v>
      </c>
    </row>
    <row r="33" spans="2:12" s="3" customFormat="1" ht="15" hidden="1">
      <c r="B33" s="59"/>
      <c r="C33" s="59"/>
      <c r="D33" s="59" t="s">
        <v>66</v>
      </c>
      <c r="E33" s="59"/>
      <c r="F33" s="70"/>
      <c r="G33" s="70"/>
      <c r="H33" s="70"/>
      <c r="I33" s="70"/>
      <c r="J33" s="70"/>
      <c r="K33" s="70"/>
      <c r="L33" s="70">
        <f t="shared" si="0"/>
        <v>0</v>
      </c>
    </row>
    <row r="34" spans="2:12" s="3" customFormat="1" ht="15">
      <c r="B34" s="59"/>
      <c r="C34" s="59" t="s">
        <v>67</v>
      </c>
      <c r="D34" s="59" t="s">
        <v>68</v>
      </c>
      <c r="E34" s="59"/>
      <c r="F34" s="70">
        <v>0</v>
      </c>
      <c r="G34" s="70"/>
      <c r="H34" s="70">
        <f>500+3400+1025</f>
        <v>4925</v>
      </c>
      <c r="I34" s="70"/>
      <c r="J34" s="70">
        <v>190</v>
      </c>
      <c r="K34" s="70">
        <v>0</v>
      </c>
      <c r="L34" s="70">
        <f t="shared" si="0"/>
        <v>5115</v>
      </c>
    </row>
    <row r="35" spans="2:12" s="3" customFormat="1" ht="15">
      <c r="B35" s="59"/>
      <c r="C35" s="59" t="s">
        <v>132</v>
      </c>
      <c r="D35" s="59" t="s">
        <v>157</v>
      </c>
      <c r="E35" s="59"/>
      <c r="F35" s="70">
        <v>0</v>
      </c>
      <c r="G35" s="70"/>
      <c r="H35" s="70">
        <f>3500+1200</f>
        <v>4700</v>
      </c>
      <c r="I35" s="70"/>
      <c r="J35" s="70">
        <v>190</v>
      </c>
      <c r="K35" s="70">
        <v>0</v>
      </c>
      <c r="L35" s="70">
        <f t="shared" si="0"/>
        <v>4890</v>
      </c>
    </row>
    <row r="36" spans="2:12" s="3" customFormat="1" ht="15">
      <c r="B36" s="59"/>
      <c r="C36" s="59" t="s">
        <v>136</v>
      </c>
      <c r="D36" s="59" t="s">
        <v>158</v>
      </c>
      <c r="E36" s="59"/>
      <c r="F36" s="70">
        <v>0</v>
      </c>
      <c r="G36" s="70"/>
      <c r="H36" s="70">
        <v>0</v>
      </c>
      <c r="I36" s="70"/>
      <c r="J36" s="70">
        <v>300</v>
      </c>
      <c r="K36" s="70">
        <v>0</v>
      </c>
      <c r="L36" s="70">
        <f t="shared" si="0"/>
        <v>300</v>
      </c>
    </row>
    <row r="37" spans="2:12" s="3" customFormat="1" ht="15">
      <c r="B37" s="59"/>
      <c r="C37" s="59" t="s">
        <v>151</v>
      </c>
      <c r="D37" s="59" t="s">
        <v>159</v>
      </c>
      <c r="E37" s="59"/>
      <c r="F37" s="70">
        <v>0</v>
      </c>
      <c r="G37" s="70"/>
      <c r="H37" s="70">
        <v>0</v>
      </c>
      <c r="I37" s="70"/>
      <c r="J37" s="70">
        <v>4950</v>
      </c>
      <c r="K37" s="70">
        <v>0</v>
      </c>
      <c r="L37" s="70">
        <v>4950</v>
      </c>
    </row>
    <row r="38" spans="2:12" s="3" customFormat="1" ht="15">
      <c r="B38" s="59"/>
      <c r="C38" s="59" t="s">
        <v>191</v>
      </c>
      <c r="D38" s="59" t="s">
        <v>159</v>
      </c>
      <c r="E38" s="59"/>
      <c r="F38" s="72">
        <v>0</v>
      </c>
      <c r="G38" s="70"/>
      <c r="H38" s="72">
        <v>0</v>
      </c>
      <c r="I38" s="70"/>
      <c r="J38" s="72">
        <v>0</v>
      </c>
      <c r="K38" s="70">
        <v>455</v>
      </c>
      <c r="L38" s="70">
        <f t="shared" si="0"/>
        <v>455</v>
      </c>
    </row>
    <row r="39" spans="2:12" s="3" customFormat="1" ht="16.5" thickBot="1">
      <c r="B39" s="79" t="s">
        <v>69</v>
      </c>
      <c r="D39" s="55"/>
      <c r="E39" s="55"/>
      <c r="F39" s="77">
        <f>SUM(F9:F38)</f>
        <v>33370</v>
      </c>
      <c r="G39" s="56"/>
      <c r="H39" s="77">
        <f>SUM(H9:H38)</f>
        <v>4746315.2</v>
      </c>
      <c r="I39" s="56"/>
      <c r="J39" s="77">
        <f>SUM(J9:J38)</f>
        <v>3292911.95</v>
      </c>
      <c r="K39" s="77">
        <f>SUM(K9:K38)</f>
        <v>1221205.8</v>
      </c>
      <c r="L39" s="78">
        <f>SUM(F39:K39)</f>
        <v>9293802.950000001</v>
      </c>
    </row>
    <row r="40" spans="2:12" s="3" customFormat="1" ht="16.5" thickTop="1">
      <c r="B40" s="53"/>
      <c r="C40" s="55" t="s">
        <v>110</v>
      </c>
      <c r="D40" s="55"/>
      <c r="E40" s="55"/>
      <c r="F40" s="56"/>
      <c r="G40" s="56"/>
      <c r="H40" s="56"/>
      <c r="I40" s="56"/>
      <c r="J40" s="56"/>
      <c r="K40" s="56"/>
      <c r="L40" s="62"/>
    </row>
    <row r="41" spans="2:12" s="3" customFormat="1" ht="15.75">
      <c r="B41" s="53"/>
      <c r="C41" s="55"/>
      <c r="D41" s="55"/>
      <c r="E41" s="55"/>
      <c r="F41" s="56"/>
      <c r="G41" s="56"/>
      <c r="H41" s="56"/>
      <c r="I41" s="56"/>
      <c r="J41" s="56"/>
      <c r="K41" s="56"/>
      <c r="L41" s="62"/>
    </row>
    <row r="42" spans="1:12" s="3" customFormat="1" ht="15.75">
      <c r="A42" s="3" t="s">
        <v>105</v>
      </c>
      <c r="B42" s="55" t="s">
        <v>70</v>
      </c>
      <c r="C42" s="55"/>
      <c r="D42" s="63"/>
      <c r="E42" s="63"/>
      <c r="F42" s="56"/>
      <c r="G42" s="61"/>
      <c r="H42" s="56"/>
      <c r="I42" s="60"/>
      <c r="J42" s="60"/>
      <c r="K42" s="60"/>
      <c r="L42" s="58"/>
    </row>
    <row r="43" spans="1:12" s="54" customFormat="1" ht="13.5" customHeight="1">
      <c r="A43" s="65"/>
      <c r="B43" s="90" t="s">
        <v>122</v>
      </c>
      <c r="C43" s="59"/>
      <c r="D43" s="59"/>
      <c r="E43" s="59"/>
      <c r="F43" s="60"/>
      <c r="G43" s="60"/>
      <c r="H43" s="60"/>
      <c r="I43" s="60"/>
      <c r="J43" s="60"/>
      <c r="K43" s="60"/>
      <c r="L43" s="57"/>
    </row>
    <row r="44" spans="2:12" s="3" customFormat="1" ht="15.75">
      <c r="B44" s="55"/>
      <c r="C44" s="73" t="s">
        <v>46</v>
      </c>
      <c r="D44" s="55"/>
      <c r="E44" s="55"/>
      <c r="F44" s="74" t="s">
        <v>33</v>
      </c>
      <c r="G44" s="56"/>
      <c r="H44" s="74" t="s">
        <v>34</v>
      </c>
      <c r="I44" s="56"/>
      <c r="J44" s="74" t="s">
        <v>145</v>
      </c>
      <c r="K44" s="74" t="s">
        <v>160</v>
      </c>
      <c r="L44" s="75" t="s">
        <v>32</v>
      </c>
    </row>
    <row r="45" spans="2:12" s="3" customFormat="1" ht="15">
      <c r="B45" s="59"/>
      <c r="C45" s="64" t="s">
        <v>150</v>
      </c>
      <c r="D45" s="59"/>
      <c r="E45" s="59"/>
      <c r="F45" s="60">
        <v>0</v>
      </c>
      <c r="G45" s="60"/>
      <c r="H45" s="60">
        <f>2500+500</f>
        <v>3000</v>
      </c>
      <c r="I45" s="60"/>
      <c r="J45" s="60">
        <f>150758+1695+750</f>
        <v>153203</v>
      </c>
      <c r="K45" s="60">
        <f>506.6+1695+30.5</f>
        <v>2232.1</v>
      </c>
      <c r="L45" s="60">
        <f>SUM(F45:K45)</f>
        <v>158435.1</v>
      </c>
    </row>
    <row r="46" spans="2:12" s="3" customFormat="1" ht="15">
      <c r="B46" s="59"/>
      <c r="C46" s="64" t="s">
        <v>71</v>
      </c>
      <c r="D46" s="59"/>
      <c r="E46" s="59"/>
      <c r="F46" s="70">
        <f>1617.78+3968</f>
        <v>5585.78</v>
      </c>
      <c r="G46" s="70"/>
      <c r="H46" s="70">
        <v>0</v>
      </c>
      <c r="I46" s="70"/>
      <c r="J46" s="70">
        <v>0</v>
      </c>
      <c r="K46" s="70">
        <v>0</v>
      </c>
      <c r="L46" s="70">
        <f aca="true" t="shared" si="1" ref="L46:L77">SUM(F46:K46)</f>
        <v>5585.78</v>
      </c>
    </row>
    <row r="47" spans="2:12" s="3" customFormat="1" ht="15">
      <c r="B47" s="59"/>
      <c r="C47" s="64" t="s">
        <v>73</v>
      </c>
      <c r="D47" s="59"/>
      <c r="E47" s="59"/>
      <c r="F47" s="70">
        <v>0</v>
      </c>
      <c r="G47" s="70"/>
      <c r="H47" s="70">
        <f>150000</f>
        <v>150000</v>
      </c>
      <c r="I47" s="70"/>
      <c r="J47" s="70">
        <v>0</v>
      </c>
      <c r="K47" s="70">
        <v>0</v>
      </c>
      <c r="L47" s="70">
        <f t="shared" si="1"/>
        <v>150000</v>
      </c>
    </row>
    <row r="48" spans="2:12" s="3" customFormat="1" ht="15">
      <c r="B48" s="59"/>
      <c r="C48" s="64" t="s">
        <v>143</v>
      </c>
      <c r="D48" s="59"/>
      <c r="E48" s="59"/>
      <c r="F48" s="70">
        <v>0</v>
      </c>
      <c r="G48" s="70"/>
      <c r="H48" s="70">
        <f>8465+2800+500+3800+501.8+1950</f>
        <v>18016.8</v>
      </c>
      <c r="I48" s="70"/>
      <c r="J48" s="70">
        <f>1407.62+6788.53+501.8+385+221.3+6008</f>
        <v>15312.249999999998</v>
      </c>
      <c r="K48" s="70">
        <f>11300.99</f>
        <v>11300.99</v>
      </c>
      <c r="L48" s="70">
        <f t="shared" si="1"/>
        <v>44630.03999999999</v>
      </c>
    </row>
    <row r="49" spans="2:12" s="3" customFormat="1" ht="15">
      <c r="B49" s="59"/>
      <c r="C49" s="64" t="s">
        <v>166</v>
      </c>
      <c r="D49" s="59"/>
      <c r="E49" s="59"/>
      <c r="F49" s="70">
        <v>0</v>
      </c>
      <c r="G49" s="70"/>
      <c r="H49" s="70">
        <v>0</v>
      </c>
      <c r="I49" s="70"/>
      <c r="J49" s="70">
        <v>1895</v>
      </c>
      <c r="K49" s="70">
        <f>1595+3205</f>
        <v>4800</v>
      </c>
      <c r="L49" s="70">
        <f t="shared" si="1"/>
        <v>6695</v>
      </c>
    </row>
    <row r="50" spans="2:12" s="3" customFormat="1" ht="15">
      <c r="B50" s="59"/>
      <c r="C50" s="64" t="s">
        <v>74</v>
      </c>
      <c r="D50" s="59"/>
      <c r="E50" s="59"/>
      <c r="F50" s="70">
        <v>0</v>
      </c>
      <c r="G50" s="70"/>
      <c r="H50" s="70">
        <v>6899.51</v>
      </c>
      <c r="I50" s="70"/>
      <c r="J50" s="70">
        <v>0</v>
      </c>
      <c r="K50" s="70">
        <v>0</v>
      </c>
      <c r="L50" s="70">
        <f t="shared" si="1"/>
        <v>6899.51</v>
      </c>
    </row>
    <row r="51" spans="2:12" s="3" customFormat="1" ht="15">
      <c r="B51" s="59"/>
      <c r="C51" s="64" t="s">
        <v>75</v>
      </c>
      <c r="D51" s="59"/>
      <c r="E51" s="59"/>
      <c r="F51" s="70">
        <f>40000+315+1153074.62+2200+40788+7699.86+190</f>
        <v>1244267.4800000002</v>
      </c>
      <c r="G51" s="70"/>
      <c r="H51" s="70">
        <f>439.98+254.1</f>
        <v>694.08</v>
      </c>
      <c r="I51" s="70"/>
      <c r="J51" s="70">
        <v>0</v>
      </c>
      <c r="K51" s="70">
        <v>0</v>
      </c>
      <c r="L51" s="70">
        <f t="shared" si="1"/>
        <v>1244961.5600000003</v>
      </c>
    </row>
    <row r="52" spans="2:12" s="3" customFormat="1" ht="15">
      <c r="B52" s="59"/>
      <c r="C52" s="64" t="s">
        <v>77</v>
      </c>
      <c r="D52" s="59"/>
      <c r="E52" s="59"/>
      <c r="F52" s="70">
        <f>35000+4300</f>
        <v>39300</v>
      </c>
      <c r="G52" s="70"/>
      <c r="H52" s="70">
        <v>0</v>
      </c>
      <c r="I52" s="70"/>
      <c r="J52" s="70">
        <v>0</v>
      </c>
      <c r="K52" s="70">
        <v>0</v>
      </c>
      <c r="L52" s="70">
        <f t="shared" si="1"/>
        <v>39300</v>
      </c>
    </row>
    <row r="53" spans="2:12" s="3" customFormat="1" ht="15" hidden="1">
      <c r="B53" s="59"/>
      <c r="C53" s="64"/>
      <c r="D53" s="59" t="s">
        <v>76</v>
      </c>
      <c r="E53" s="59"/>
      <c r="F53" s="70"/>
      <c r="G53" s="70"/>
      <c r="H53" s="70"/>
      <c r="I53" s="70"/>
      <c r="J53" s="70"/>
      <c r="K53" s="70"/>
      <c r="L53" s="70">
        <f t="shared" si="1"/>
        <v>0</v>
      </c>
    </row>
    <row r="54" spans="2:12" s="3" customFormat="1" ht="15">
      <c r="B54" s="59"/>
      <c r="C54" s="64" t="s">
        <v>78</v>
      </c>
      <c r="D54" s="59"/>
      <c r="E54" s="59"/>
      <c r="F54" s="70">
        <v>57247</v>
      </c>
      <c r="G54" s="70"/>
      <c r="H54" s="70">
        <v>0</v>
      </c>
      <c r="I54" s="70"/>
      <c r="J54" s="70">
        <v>0</v>
      </c>
      <c r="K54" s="70">
        <v>0</v>
      </c>
      <c r="L54" s="70">
        <f t="shared" si="1"/>
        <v>57247</v>
      </c>
    </row>
    <row r="55" spans="2:12" s="3" customFormat="1" ht="15">
      <c r="B55" s="59"/>
      <c r="C55" s="64" t="s">
        <v>79</v>
      </c>
      <c r="D55" s="59"/>
      <c r="E55" s="59"/>
      <c r="F55" s="70">
        <f>97.87+49570</f>
        <v>49667.87</v>
      </c>
      <c r="G55" s="70"/>
      <c r="H55" s="70">
        <v>0</v>
      </c>
      <c r="I55" s="70"/>
      <c r="J55" s="70">
        <v>0</v>
      </c>
      <c r="K55" s="70">
        <v>0</v>
      </c>
      <c r="L55" s="70">
        <f t="shared" si="1"/>
        <v>49667.87</v>
      </c>
    </row>
    <row r="56" spans="2:12" s="3" customFormat="1" ht="15">
      <c r="B56" s="59"/>
      <c r="C56" s="64" t="s">
        <v>163</v>
      </c>
      <c r="D56" s="59" t="s">
        <v>156</v>
      </c>
      <c r="E56" s="59"/>
      <c r="F56" s="70">
        <v>0</v>
      </c>
      <c r="G56" s="70"/>
      <c r="H56" s="70">
        <f>500+1900</f>
        <v>2400</v>
      </c>
      <c r="I56" s="70"/>
      <c r="J56" s="70">
        <f>1000+2800+3282.5+1387.5+4050+399.2+506.5+2223423</f>
        <v>2236848.7</v>
      </c>
      <c r="K56" s="70">
        <v>0</v>
      </c>
      <c r="L56" s="70">
        <f t="shared" si="1"/>
        <v>2239248.7</v>
      </c>
    </row>
    <row r="57" spans="2:12" s="3" customFormat="1" ht="15">
      <c r="B57" s="59"/>
      <c r="C57" s="64" t="s">
        <v>165</v>
      </c>
      <c r="D57" s="59" t="s">
        <v>90</v>
      </c>
      <c r="E57" s="59"/>
      <c r="F57" s="70">
        <v>0</v>
      </c>
      <c r="G57" s="70"/>
      <c r="H57" s="70">
        <f>5600+1000</f>
        <v>6600</v>
      </c>
      <c r="I57" s="70"/>
      <c r="J57" s="70">
        <v>0</v>
      </c>
      <c r="K57" s="70">
        <f>1802771.16+650+4800+2800+16872.9+2768</f>
        <v>1830662.0599999998</v>
      </c>
      <c r="L57" s="70">
        <f t="shared" si="1"/>
        <v>1837262.0599999998</v>
      </c>
    </row>
    <row r="58" spans="2:12" s="3" customFormat="1" ht="15">
      <c r="B58" s="59"/>
      <c r="C58" s="64" t="s">
        <v>91</v>
      </c>
      <c r="D58" s="59"/>
      <c r="E58" s="59"/>
      <c r="F58" s="70">
        <f>365.39+3000</f>
        <v>3365.39</v>
      </c>
      <c r="G58" s="70"/>
      <c r="H58" s="70">
        <v>0</v>
      </c>
      <c r="I58" s="70"/>
      <c r="J58" s="70">
        <v>0</v>
      </c>
      <c r="K58" s="70">
        <f>4712+2287.66</f>
        <v>6999.66</v>
      </c>
      <c r="L58" s="70">
        <f t="shared" si="1"/>
        <v>10365.05</v>
      </c>
    </row>
    <row r="59" spans="2:12" s="3" customFormat="1" ht="15">
      <c r="B59" s="59"/>
      <c r="C59" s="64" t="s">
        <v>93</v>
      </c>
      <c r="D59" s="59" t="s">
        <v>93</v>
      </c>
      <c r="E59" s="59"/>
      <c r="F59" s="70">
        <v>0</v>
      </c>
      <c r="G59" s="70"/>
      <c r="H59" s="70">
        <f>1900+500</f>
        <v>2400</v>
      </c>
      <c r="I59" s="70"/>
      <c r="J59" s="70">
        <f>1850+481985+3750</f>
        <v>487585</v>
      </c>
      <c r="K59" s="70">
        <v>0</v>
      </c>
      <c r="L59" s="70">
        <f t="shared" si="1"/>
        <v>489985</v>
      </c>
    </row>
    <row r="60" spans="2:12" s="3" customFormat="1" ht="15">
      <c r="B60" s="59"/>
      <c r="C60" s="64" t="s">
        <v>98</v>
      </c>
      <c r="D60" s="59"/>
      <c r="E60" s="59"/>
      <c r="F60" s="70">
        <v>50.44</v>
      </c>
      <c r="G60" s="70"/>
      <c r="H60" s="70">
        <v>0</v>
      </c>
      <c r="I60" s="70"/>
      <c r="J60" s="70">
        <v>0</v>
      </c>
      <c r="K60" s="70">
        <v>0</v>
      </c>
      <c r="L60" s="70">
        <f t="shared" si="1"/>
        <v>50.44</v>
      </c>
    </row>
    <row r="61" spans="2:12" s="3" customFormat="1" ht="15">
      <c r="B61" s="59"/>
      <c r="C61" s="64" t="s">
        <v>155</v>
      </c>
      <c r="D61" s="59" t="s">
        <v>155</v>
      </c>
      <c r="E61" s="59"/>
      <c r="F61" s="70">
        <v>0</v>
      </c>
      <c r="G61" s="70"/>
      <c r="H61" s="70">
        <f>2250+210+500</f>
        <v>2960</v>
      </c>
      <c r="I61" s="70"/>
      <c r="J61" s="70">
        <f>1500+1720+2400+1695+450+3700+506.05+501.3</f>
        <v>12472.349999999999</v>
      </c>
      <c r="K61" s="70">
        <v>582232</v>
      </c>
      <c r="L61" s="70">
        <f t="shared" si="1"/>
        <v>597664.35</v>
      </c>
    </row>
    <row r="62" spans="2:12" s="3" customFormat="1" ht="15">
      <c r="B62" s="59"/>
      <c r="C62" s="64" t="s">
        <v>84</v>
      </c>
      <c r="D62" s="59" t="s">
        <v>85</v>
      </c>
      <c r="E62" s="59"/>
      <c r="F62" s="70">
        <f>1500+500</f>
        <v>2000</v>
      </c>
      <c r="G62" s="70"/>
      <c r="H62" s="70">
        <v>0</v>
      </c>
      <c r="I62" s="70"/>
      <c r="J62" s="70">
        <v>0</v>
      </c>
      <c r="K62" s="70">
        <v>0</v>
      </c>
      <c r="L62" s="70">
        <f t="shared" si="1"/>
        <v>2000</v>
      </c>
    </row>
    <row r="63" spans="2:12" s="3" customFormat="1" ht="15">
      <c r="B63" s="59"/>
      <c r="C63" s="64" t="s">
        <v>49</v>
      </c>
      <c r="D63" s="59" t="s">
        <v>72</v>
      </c>
      <c r="E63" s="59"/>
      <c r="F63" s="70">
        <v>0</v>
      </c>
      <c r="G63" s="70"/>
      <c r="H63" s="70">
        <f>2400+500</f>
        <v>2900</v>
      </c>
      <c r="I63" s="70"/>
      <c r="J63" s="70">
        <v>0</v>
      </c>
      <c r="K63" s="70">
        <v>0</v>
      </c>
      <c r="L63" s="70">
        <f t="shared" si="1"/>
        <v>2900</v>
      </c>
    </row>
    <row r="64" spans="2:12" s="3" customFormat="1" ht="15">
      <c r="B64" s="59"/>
      <c r="C64" s="64" t="s">
        <v>80</v>
      </c>
      <c r="D64" s="59" t="s">
        <v>81</v>
      </c>
      <c r="E64" s="59"/>
      <c r="F64" s="70">
        <v>0</v>
      </c>
      <c r="G64" s="70"/>
      <c r="H64" s="70">
        <f>1500+500</f>
        <v>2000</v>
      </c>
      <c r="I64" s="70"/>
      <c r="J64" s="70">
        <v>0</v>
      </c>
      <c r="K64" s="70">
        <v>0</v>
      </c>
      <c r="L64" s="70">
        <f t="shared" si="1"/>
        <v>2000</v>
      </c>
    </row>
    <row r="65" spans="2:12" s="3" customFormat="1" ht="15">
      <c r="B65" s="59"/>
      <c r="C65" s="64" t="s">
        <v>82</v>
      </c>
      <c r="D65" s="59" t="s">
        <v>83</v>
      </c>
      <c r="E65" s="59"/>
      <c r="F65" s="70">
        <v>0</v>
      </c>
      <c r="G65" s="70"/>
      <c r="H65" s="70">
        <f>1500+500</f>
        <v>2000</v>
      </c>
      <c r="I65" s="70"/>
      <c r="J65" s="70">
        <v>0</v>
      </c>
      <c r="K65" s="70">
        <v>0</v>
      </c>
      <c r="L65" s="70">
        <f t="shared" si="1"/>
        <v>2000</v>
      </c>
    </row>
    <row r="66" spans="2:12" s="3" customFormat="1" ht="15">
      <c r="B66" s="59"/>
      <c r="C66" s="64" t="s">
        <v>86</v>
      </c>
      <c r="D66" s="59" t="s">
        <v>87</v>
      </c>
      <c r="E66" s="59"/>
      <c r="F66" s="70">
        <v>0</v>
      </c>
      <c r="G66" s="70"/>
      <c r="H66" s="70">
        <f>3500+500</f>
        <v>4000</v>
      </c>
      <c r="I66" s="70"/>
      <c r="J66" s="70">
        <v>0</v>
      </c>
      <c r="K66" s="70">
        <v>0</v>
      </c>
      <c r="L66" s="70">
        <f t="shared" si="1"/>
        <v>4000</v>
      </c>
    </row>
    <row r="67" spans="2:12" s="3" customFormat="1" ht="15" hidden="1">
      <c r="B67" s="59"/>
      <c r="C67" s="64"/>
      <c r="D67" s="59" t="s">
        <v>94</v>
      </c>
      <c r="E67" s="59"/>
      <c r="F67" s="70"/>
      <c r="G67" s="70"/>
      <c r="H67" s="70"/>
      <c r="I67" s="70"/>
      <c r="J67" s="70"/>
      <c r="K67" s="70"/>
      <c r="L67" s="70">
        <f t="shared" si="1"/>
        <v>0</v>
      </c>
    </row>
    <row r="68" spans="2:12" s="3" customFormat="1" ht="15" hidden="1">
      <c r="B68" s="59"/>
      <c r="C68" s="64"/>
      <c r="D68" s="59" t="s">
        <v>95</v>
      </c>
      <c r="E68" s="59"/>
      <c r="F68" s="70"/>
      <c r="G68" s="70"/>
      <c r="H68" s="70"/>
      <c r="I68" s="70"/>
      <c r="J68" s="70"/>
      <c r="K68" s="70"/>
      <c r="L68" s="70">
        <f t="shared" si="1"/>
        <v>0</v>
      </c>
    </row>
    <row r="69" spans="2:12" s="3" customFormat="1" ht="15" hidden="1">
      <c r="B69" s="59"/>
      <c r="C69" s="64"/>
      <c r="D69" s="59" t="s">
        <v>96</v>
      </c>
      <c r="E69" s="59"/>
      <c r="F69" s="70"/>
      <c r="G69" s="70"/>
      <c r="H69" s="70"/>
      <c r="I69" s="70"/>
      <c r="J69" s="70"/>
      <c r="K69" s="70"/>
      <c r="L69" s="70">
        <f t="shared" si="1"/>
        <v>0</v>
      </c>
    </row>
    <row r="70" spans="2:12" s="3" customFormat="1" ht="15" hidden="1">
      <c r="B70" s="59"/>
      <c r="C70" s="64"/>
      <c r="D70" s="59" t="s">
        <v>97</v>
      </c>
      <c r="E70" s="59"/>
      <c r="F70" s="70"/>
      <c r="G70" s="70"/>
      <c r="H70" s="70"/>
      <c r="I70" s="70"/>
      <c r="J70" s="70"/>
      <c r="K70" s="70"/>
      <c r="L70" s="70">
        <f t="shared" si="1"/>
        <v>0</v>
      </c>
    </row>
    <row r="71" spans="2:12" s="3" customFormat="1" ht="15" hidden="1">
      <c r="B71" s="59"/>
      <c r="C71" s="64"/>
      <c r="D71" s="59" t="s">
        <v>99</v>
      </c>
      <c r="E71" s="59"/>
      <c r="F71" s="70"/>
      <c r="G71" s="70"/>
      <c r="H71" s="70"/>
      <c r="I71" s="70"/>
      <c r="J71" s="70"/>
      <c r="K71" s="70"/>
      <c r="L71" s="70">
        <f t="shared" si="1"/>
        <v>0</v>
      </c>
    </row>
    <row r="72" spans="2:12" s="3" customFormat="1" ht="15">
      <c r="B72" s="59"/>
      <c r="C72" s="64" t="s">
        <v>129</v>
      </c>
      <c r="D72" s="59"/>
      <c r="E72" s="59"/>
      <c r="F72" s="70">
        <v>0</v>
      </c>
      <c r="G72" s="70"/>
      <c r="H72" s="70">
        <v>500</v>
      </c>
      <c r="I72" s="70"/>
      <c r="J72" s="70">
        <v>0</v>
      </c>
      <c r="K72" s="70">
        <v>0</v>
      </c>
      <c r="L72" s="70">
        <f t="shared" si="1"/>
        <v>500</v>
      </c>
    </row>
    <row r="73" spans="2:12" s="3" customFormat="1" ht="15">
      <c r="B73" s="59"/>
      <c r="C73" s="64" t="s">
        <v>172</v>
      </c>
      <c r="D73" s="59"/>
      <c r="E73" s="59"/>
      <c r="F73" s="70">
        <v>0</v>
      </c>
      <c r="G73" s="70"/>
      <c r="H73" s="70">
        <v>0</v>
      </c>
      <c r="I73" s="70"/>
      <c r="J73" s="70">
        <v>0</v>
      </c>
      <c r="K73" s="70">
        <f>210+3240+1000</f>
        <v>4450</v>
      </c>
      <c r="L73" s="70">
        <f t="shared" si="1"/>
        <v>4450</v>
      </c>
    </row>
    <row r="74" spans="2:12" s="3" customFormat="1" ht="15">
      <c r="B74" s="59"/>
      <c r="C74" s="64" t="s">
        <v>168</v>
      </c>
      <c r="D74" s="59"/>
      <c r="E74" s="59"/>
      <c r="F74" s="70">
        <v>0</v>
      </c>
      <c r="G74" s="70"/>
      <c r="H74" s="70">
        <v>0</v>
      </c>
      <c r="I74" s="70"/>
      <c r="J74" s="70">
        <v>0</v>
      </c>
      <c r="K74" s="70">
        <f>210+550</f>
        <v>760</v>
      </c>
      <c r="L74" s="70">
        <f t="shared" si="1"/>
        <v>760</v>
      </c>
    </row>
    <row r="75" spans="2:12" s="3" customFormat="1" ht="15">
      <c r="B75" s="59"/>
      <c r="C75" s="64" t="s">
        <v>169</v>
      </c>
      <c r="D75" s="59"/>
      <c r="E75" s="59"/>
      <c r="F75" s="70">
        <v>0</v>
      </c>
      <c r="G75" s="70"/>
      <c r="H75" s="70">
        <v>0</v>
      </c>
      <c r="I75" s="70"/>
      <c r="J75" s="70">
        <v>0</v>
      </c>
      <c r="K75" s="70">
        <f>210+900</f>
        <v>1110</v>
      </c>
      <c r="L75" s="70">
        <f t="shared" si="1"/>
        <v>1110</v>
      </c>
    </row>
    <row r="76" spans="2:12" s="3" customFormat="1" ht="15">
      <c r="B76" s="59"/>
      <c r="C76" s="64" t="s">
        <v>170</v>
      </c>
      <c r="D76" s="59"/>
      <c r="E76" s="59"/>
      <c r="F76" s="70">
        <v>0</v>
      </c>
      <c r="G76" s="70"/>
      <c r="H76" s="70">
        <v>0</v>
      </c>
      <c r="I76" s="70"/>
      <c r="J76" s="70">
        <v>0</v>
      </c>
      <c r="K76" s="70">
        <v>3610</v>
      </c>
      <c r="L76" s="70">
        <v>3610</v>
      </c>
    </row>
    <row r="77" spans="2:12" s="3" customFormat="1" ht="15">
      <c r="B77" s="59"/>
      <c r="C77" s="64" t="s">
        <v>192</v>
      </c>
      <c r="D77" s="59"/>
      <c r="E77" s="59"/>
      <c r="F77" s="70">
        <v>0</v>
      </c>
      <c r="G77" s="70"/>
      <c r="H77" s="70">
        <v>0</v>
      </c>
      <c r="I77" s="70"/>
      <c r="J77" s="70">
        <v>0</v>
      </c>
      <c r="K77" s="70">
        <v>230</v>
      </c>
      <c r="L77" s="70">
        <f t="shared" si="1"/>
        <v>230</v>
      </c>
    </row>
    <row r="78" spans="2:14" s="3" customFormat="1" ht="16.5" thickBot="1">
      <c r="B78" s="53" t="s">
        <v>101</v>
      </c>
      <c r="C78" s="55"/>
      <c r="D78" s="55"/>
      <c r="E78" s="55"/>
      <c r="F78" s="77">
        <f>SUM(F45:F77)</f>
        <v>1401483.9600000002</v>
      </c>
      <c r="G78" s="77">
        <f>SUM(G45:G77)</f>
        <v>0</v>
      </c>
      <c r="H78" s="77">
        <f>SUM(H45:H77)</f>
        <v>204370.38999999998</v>
      </c>
      <c r="I78" s="77">
        <f>SUM(I46:I77)</f>
        <v>0</v>
      </c>
      <c r="J78" s="77">
        <f>SUM(J45:J77)</f>
        <v>2907316.3000000003</v>
      </c>
      <c r="K78" s="77">
        <f>SUM(K45:K77)</f>
        <v>2448386.8099999996</v>
      </c>
      <c r="L78" s="77">
        <f>SUM(L45:L77)</f>
        <v>6961557.46</v>
      </c>
      <c r="N78" s="66"/>
    </row>
    <row r="79" spans="2:14" s="3" customFormat="1" ht="16.5" thickTop="1">
      <c r="B79" s="53"/>
      <c r="C79" s="55"/>
      <c r="D79" s="55"/>
      <c r="E79" s="55"/>
      <c r="F79" s="56"/>
      <c r="G79" s="56"/>
      <c r="H79" s="56"/>
      <c r="I79" s="56"/>
      <c r="J79" s="56"/>
      <c r="K79" s="56"/>
      <c r="L79" s="56"/>
      <c r="N79" s="66"/>
    </row>
    <row r="80" spans="1:14" s="3" customFormat="1" ht="15.75">
      <c r="A80" s="3" t="s">
        <v>107</v>
      </c>
      <c r="B80" s="53" t="s">
        <v>139</v>
      </c>
      <c r="C80" s="55"/>
      <c r="D80" s="55"/>
      <c r="E80" s="55"/>
      <c r="F80" s="56"/>
      <c r="G80" s="56"/>
      <c r="H80" s="56"/>
      <c r="I80" s="56"/>
      <c r="J80" s="56"/>
      <c r="K80" s="56"/>
      <c r="L80" s="56"/>
      <c r="N80" s="66"/>
    </row>
    <row r="81" spans="2:14" s="3" customFormat="1" ht="114" customHeight="1">
      <c r="B81" s="155" t="s">
        <v>140</v>
      </c>
      <c r="C81" s="154"/>
      <c r="D81" s="154"/>
      <c r="E81" s="154"/>
      <c r="F81" s="154"/>
      <c r="G81" s="154"/>
      <c r="H81" s="154"/>
      <c r="I81" s="154"/>
      <c r="J81" s="154"/>
      <c r="K81" s="154"/>
      <c r="L81" s="154"/>
      <c r="M81" s="154"/>
      <c r="N81" s="154"/>
    </row>
    <row r="82" spans="2:14" s="3" customFormat="1" ht="15.75">
      <c r="B82" s="53"/>
      <c r="C82" s="55"/>
      <c r="D82" s="55"/>
      <c r="E82" s="55"/>
      <c r="F82" s="56"/>
      <c r="G82" s="56"/>
      <c r="H82" s="56"/>
      <c r="I82" s="56"/>
      <c r="J82" s="56"/>
      <c r="K82" s="56"/>
      <c r="L82" s="56"/>
      <c r="N82" s="66"/>
    </row>
    <row r="83" spans="2:14" s="3" customFormat="1" ht="112.5" customHeight="1">
      <c r="B83" s="155" t="s">
        <v>142</v>
      </c>
      <c r="C83" s="154"/>
      <c r="D83" s="154"/>
      <c r="E83" s="154"/>
      <c r="F83" s="154"/>
      <c r="G83" s="154"/>
      <c r="H83" s="154"/>
      <c r="I83" s="154"/>
      <c r="J83" s="154"/>
      <c r="K83" s="154"/>
      <c r="L83" s="154"/>
      <c r="M83" s="154"/>
      <c r="N83" s="154"/>
    </row>
    <row r="85" spans="1:12" ht="28.5" customHeight="1" hidden="1">
      <c r="A85" s="89" t="s">
        <v>108</v>
      </c>
      <c r="B85" s="152" t="s">
        <v>109</v>
      </c>
      <c r="C85" s="154"/>
      <c r="D85" s="154"/>
      <c r="E85" s="154"/>
      <c r="F85" s="154"/>
      <c r="G85" s="154"/>
      <c r="H85" s="154"/>
      <c r="I85" s="154"/>
      <c r="J85" s="154"/>
      <c r="K85" s="154"/>
      <c r="L85" s="154"/>
    </row>
    <row r="86" ht="15" hidden="1"/>
    <row r="87" spans="6:13" ht="47.25" hidden="1">
      <c r="F87" s="83" t="s">
        <v>33</v>
      </c>
      <c r="G87" s="80"/>
      <c r="H87" s="83" t="s">
        <v>186</v>
      </c>
      <c r="I87" s="80"/>
      <c r="J87" s="83" t="s">
        <v>145</v>
      </c>
      <c r="K87" s="83" t="s">
        <v>185</v>
      </c>
      <c r="L87" s="76"/>
      <c r="M87" s="76"/>
    </row>
    <row r="88" spans="2:3" ht="15.75" hidden="1">
      <c r="B88" s="9" t="s">
        <v>127</v>
      </c>
      <c r="C88" s="9"/>
    </row>
    <row r="89" ht="15" hidden="1"/>
    <row r="90" spans="3:11" ht="15" hidden="1">
      <c r="C90" s="5" t="s">
        <v>24</v>
      </c>
      <c r="F90" s="60">
        <v>1939530</v>
      </c>
      <c r="G90" s="60"/>
      <c r="H90" s="60">
        <v>2014851</v>
      </c>
      <c r="I90" s="60"/>
      <c r="J90" s="96">
        <v>2130653.75</v>
      </c>
      <c r="K90" s="60">
        <f>80476074-J90</f>
        <v>78345420.25</v>
      </c>
    </row>
    <row r="91" spans="3:11" ht="15" hidden="1">
      <c r="C91" s="5" t="s">
        <v>2</v>
      </c>
      <c r="F91" s="70">
        <v>0</v>
      </c>
      <c r="G91" s="70"/>
      <c r="H91" s="70">
        <v>20108066</v>
      </c>
      <c r="I91" s="70"/>
      <c r="J91" s="70">
        <v>0</v>
      </c>
      <c r="K91" s="70">
        <v>0</v>
      </c>
    </row>
    <row r="92" spans="3:11" ht="15" hidden="1">
      <c r="C92" s="81" t="s">
        <v>111</v>
      </c>
      <c r="F92" s="72">
        <v>0</v>
      </c>
      <c r="G92" s="70"/>
      <c r="H92" s="72">
        <f>-'Income Statement'!H50</f>
        <v>-470467.92</v>
      </c>
      <c r="I92" s="70"/>
      <c r="J92" s="72">
        <v>-1158125</v>
      </c>
      <c r="K92" s="72">
        <f>-35976660.42-J92</f>
        <v>-34818535.42</v>
      </c>
    </row>
    <row r="93" spans="3:11" ht="15.75" hidden="1">
      <c r="C93" s="82" t="s">
        <v>112</v>
      </c>
      <c r="F93" s="60">
        <f>SUM(F90:F92)</f>
        <v>1939530</v>
      </c>
      <c r="G93" s="60"/>
      <c r="H93" s="60">
        <f>SUM(H90:H92)</f>
        <v>21652449.08</v>
      </c>
      <c r="I93" s="60"/>
      <c r="J93" s="60">
        <f>SUM(J90:J92)</f>
        <v>972528.75</v>
      </c>
      <c r="K93" s="60">
        <f>SUM(K90:K92)</f>
        <v>43526884.83</v>
      </c>
    </row>
    <row r="94" ht="15" hidden="1"/>
    <row r="95" ht="15" hidden="1">
      <c r="C95" s="85" t="s">
        <v>113</v>
      </c>
    </row>
    <row r="96" spans="3:11" ht="15" hidden="1">
      <c r="C96" s="81" t="s">
        <v>119</v>
      </c>
      <c r="F96" s="60">
        <f>F93*0.06</f>
        <v>116371.8</v>
      </c>
      <c r="G96" s="60"/>
      <c r="H96" s="60">
        <f>H93*0.06</f>
        <v>1299146.9448</v>
      </c>
      <c r="I96" s="60"/>
      <c r="J96" s="60">
        <f>J93*0.06</f>
        <v>58351.725</v>
      </c>
      <c r="K96" s="60">
        <f>K93*0.06</f>
        <v>2611613.0897999997</v>
      </c>
    </row>
    <row r="97" spans="3:11" ht="15" hidden="1">
      <c r="C97" s="81" t="s">
        <v>114</v>
      </c>
      <c r="F97" s="84">
        <f>F96</f>
        <v>116371.8</v>
      </c>
      <c r="H97" s="84">
        <f>H96+F96</f>
        <v>1415518.7448</v>
      </c>
      <c r="J97" s="84">
        <f>J96+H97</f>
        <v>1473870.4698</v>
      </c>
      <c r="K97" s="84">
        <f>K96+I97</f>
        <v>2611613.0897999997</v>
      </c>
    </row>
    <row r="98" spans="6:11" ht="15" hidden="1">
      <c r="F98" s="84"/>
      <c r="H98" s="84"/>
      <c r="J98" s="84"/>
      <c r="K98" s="84"/>
    </row>
    <row r="99" ht="15" hidden="1">
      <c r="C99" s="85" t="s">
        <v>117</v>
      </c>
    </row>
    <row r="100" spans="3:11" ht="15" hidden="1">
      <c r="C100" s="81" t="s">
        <v>119</v>
      </c>
      <c r="F100" s="60">
        <f>F93*0.048</f>
        <v>93097.44</v>
      </c>
      <c r="G100" s="60"/>
      <c r="H100" s="60">
        <f>H93*0.048</f>
        <v>1039317.5558399999</v>
      </c>
      <c r="I100" s="60"/>
      <c r="J100" s="60">
        <f>J93*0.048</f>
        <v>46681.38</v>
      </c>
      <c r="K100" s="60">
        <f>K93*0.048</f>
        <v>2089290.47184</v>
      </c>
    </row>
    <row r="101" spans="3:11" ht="15" hidden="1">
      <c r="C101" s="81" t="s">
        <v>114</v>
      </c>
      <c r="F101" s="70">
        <f>F100</f>
        <v>93097.44</v>
      </c>
      <c r="G101" s="70"/>
      <c r="H101" s="70">
        <f>H100+F100</f>
        <v>1132414.99584</v>
      </c>
      <c r="I101" s="70"/>
      <c r="J101" s="84">
        <f>J100+H101</f>
        <v>1179096.3758399999</v>
      </c>
      <c r="K101" s="84">
        <f>K100+I101</f>
        <v>2089290.47184</v>
      </c>
    </row>
    <row r="102" ht="15" hidden="1"/>
    <row r="103" ht="15" hidden="1"/>
    <row r="104" spans="2:3" s="86" customFormat="1" ht="15.75" hidden="1">
      <c r="B104" s="9" t="s">
        <v>128</v>
      </c>
      <c r="C104" s="9"/>
    </row>
    <row r="105" ht="15" hidden="1"/>
    <row r="106" ht="15" hidden="1">
      <c r="C106" s="85" t="s">
        <v>113</v>
      </c>
    </row>
    <row r="107" spans="3:11" ht="15" hidden="1">
      <c r="C107" s="81" t="s">
        <v>118</v>
      </c>
      <c r="F107" s="60">
        <f>F97</f>
        <v>116371.8</v>
      </c>
      <c r="G107" s="60"/>
      <c r="H107" s="60">
        <f>H97</f>
        <v>1415518.7448</v>
      </c>
      <c r="I107" s="60"/>
      <c r="J107" s="60">
        <f>J97</f>
        <v>1473870.4698</v>
      </c>
      <c r="K107" s="60">
        <f>K97</f>
        <v>2611613.0897999997</v>
      </c>
    </row>
    <row r="108" spans="3:11" ht="15" hidden="1">
      <c r="C108" s="81" t="s">
        <v>121</v>
      </c>
      <c r="F108" s="88">
        <f>'Income Statement'!F78+'Income Statement'!F62</f>
        <v>189365.83</v>
      </c>
      <c r="G108" s="60"/>
      <c r="H108" s="88">
        <f>'Income Statement'!H78+F108+'Income Statement'!H62</f>
        <v>648311.1900000001</v>
      </c>
      <c r="I108" s="60"/>
      <c r="J108" s="88">
        <f>H108+'Income Statement'!J62+'Income Statement'!J78</f>
        <v>919928.47</v>
      </c>
      <c r="K108" s="60"/>
    </row>
    <row r="109" spans="3:11" ht="15" hidden="1">
      <c r="C109" s="87" t="s">
        <v>120</v>
      </c>
      <c r="F109" s="60">
        <f>F107-F108</f>
        <v>-72994.02999999998</v>
      </c>
      <c r="G109" s="60"/>
      <c r="H109" s="60">
        <f>H107-H108</f>
        <v>767207.5547999999</v>
      </c>
      <c r="I109" s="60"/>
      <c r="J109" s="60">
        <f>J107-J108</f>
        <v>553941.9998000001</v>
      </c>
      <c r="K109" s="60"/>
    </row>
    <row r="110" spans="6:11" ht="15" hidden="1">
      <c r="F110" s="84"/>
      <c r="H110" s="84"/>
      <c r="J110" s="84"/>
      <c r="K110" s="84"/>
    </row>
    <row r="111" ht="15" hidden="1">
      <c r="C111" s="85" t="s">
        <v>117</v>
      </c>
    </row>
    <row r="112" spans="3:11" ht="15" hidden="1">
      <c r="C112" s="81" t="s">
        <v>118</v>
      </c>
      <c r="F112" s="60">
        <f>F101</f>
        <v>93097.44</v>
      </c>
      <c r="G112" s="60"/>
      <c r="H112" s="60">
        <f>H101</f>
        <v>1132414.99584</v>
      </c>
      <c r="I112" s="60"/>
      <c r="J112" s="60">
        <f>J101</f>
        <v>1179096.3758399999</v>
      </c>
      <c r="K112" s="60">
        <f>K101</f>
        <v>2089290.47184</v>
      </c>
    </row>
    <row r="113" spans="3:11" ht="15" hidden="1">
      <c r="C113" s="81" t="s">
        <v>121</v>
      </c>
      <c r="F113" s="88">
        <f>F108</f>
        <v>189365.83</v>
      </c>
      <c r="G113" s="60"/>
      <c r="H113" s="88">
        <f>H108</f>
        <v>648311.1900000001</v>
      </c>
      <c r="I113" s="60"/>
      <c r="J113" s="88">
        <f>J108</f>
        <v>919928.47</v>
      </c>
      <c r="K113" s="60"/>
    </row>
    <row r="114" spans="3:10" ht="15" hidden="1">
      <c r="C114" s="87" t="s">
        <v>120</v>
      </c>
      <c r="F114" s="14">
        <f>F109-F112</f>
        <v>-166091.46999999997</v>
      </c>
      <c r="H114" s="14">
        <f>H112-H113</f>
        <v>484103.8058399999</v>
      </c>
      <c r="J114" s="14">
        <f>J112-J113</f>
        <v>259167.9058399999</v>
      </c>
    </row>
    <row r="115" ht="15" hidden="1"/>
    <row r="116" ht="15" hidden="1">
      <c r="B116" s="91" t="s">
        <v>123</v>
      </c>
    </row>
    <row r="117" spans="2:12" ht="30.75" customHeight="1" hidden="1">
      <c r="B117" s="152" t="s">
        <v>124</v>
      </c>
      <c r="C117" s="154"/>
      <c r="D117" s="154"/>
      <c r="E117" s="154"/>
      <c r="F117" s="154"/>
      <c r="G117" s="154"/>
      <c r="H117" s="154"/>
      <c r="I117" s="154"/>
      <c r="J117" s="154"/>
      <c r="K117" s="154"/>
      <c r="L117" s="154"/>
    </row>
    <row r="119" spans="1:14" ht="33" customHeight="1">
      <c r="A119" s="89" t="s">
        <v>108</v>
      </c>
      <c r="B119" s="152" t="s">
        <v>201</v>
      </c>
      <c r="C119" s="153"/>
      <c r="D119" s="153"/>
      <c r="E119" s="153"/>
      <c r="F119" s="153"/>
      <c r="G119" s="153"/>
      <c r="H119" s="153"/>
      <c r="I119" s="153"/>
      <c r="J119" s="153"/>
      <c r="K119" s="153"/>
      <c r="L119" s="153"/>
      <c r="M119" s="153"/>
      <c r="N119" s="151"/>
    </row>
    <row r="120" spans="2:14" ht="15">
      <c r="B120" s="151"/>
      <c r="C120" s="151"/>
      <c r="D120" s="151"/>
      <c r="E120" s="151"/>
      <c r="F120" s="151"/>
      <c r="G120" s="151"/>
      <c r="H120" s="151"/>
      <c r="I120" s="151"/>
      <c r="J120" s="151"/>
      <c r="K120" s="151"/>
      <c r="L120" s="151"/>
      <c r="M120" s="151"/>
      <c r="N120" s="151"/>
    </row>
    <row r="121" spans="2:14" ht="15">
      <c r="B121" s="151"/>
      <c r="C121" s="151"/>
      <c r="D121" s="151"/>
      <c r="E121" s="151"/>
      <c r="F121" s="151"/>
      <c r="G121" s="151"/>
      <c r="H121" s="151"/>
      <c r="I121" s="151"/>
      <c r="J121" s="151"/>
      <c r="K121" s="151"/>
      <c r="L121" s="151"/>
      <c r="M121" s="151"/>
      <c r="N121" s="151"/>
    </row>
  </sheetData>
  <sheetProtection/>
  <mergeCells count="6">
    <mergeCell ref="B119:M119"/>
    <mergeCell ref="B85:L85"/>
    <mergeCell ref="B4:L4"/>
    <mergeCell ref="B117:L117"/>
    <mergeCell ref="B81:N81"/>
    <mergeCell ref="B83:N83"/>
  </mergeCells>
  <printOptions horizontalCentered="1"/>
  <pageMargins left="0.25" right="0.25" top="0.5" bottom="0.5" header="0.5" footer="0.5"/>
  <pageSetup fitToHeight="1" fitToWidth="1" horizontalDpi="600" verticalDpi="600" orientation="portrait" scale="54" r:id="rId2"/>
  <headerFooter alignWithMargins="0">
    <oddFooter>&amp;L&amp;8&amp;F&amp;R&amp;8&amp;D</oddFooter>
  </headerFooter>
  <drawing r:id="rId1"/>
</worksheet>
</file>

<file path=xl/worksheets/sheet3.xml><?xml version="1.0" encoding="utf-8"?>
<worksheet xmlns="http://schemas.openxmlformats.org/spreadsheetml/2006/main" xmlns:r="http://schemas.openxmlformats.org/officeDocument/2006/relationships">
  <dimension ref="A1:I49"/>
  <sheetViews>
    <sheetView tabSelected="1" view="pageBreakPreview" zoomScale="60" zoomScaleNormal="75" zoomScalePageLayoutView="0" workbookViewId="0" topLeftCell="A1">
      <selection activeCell="F80" sqref="F80"/>
    </sheetView>
  </sheetViews>
  <sheetFormatPr defaultColWidth="9.140625" defaultRowHeight="12.75"/>
  <cols>
    <col min="1" max="1" width="28.7109375" style="0" customWidth="1"/>
    <col min="2" max="2" width="3.8515625" style="0" customWidth="1"/>
    <col min="3" max="3" width="41.140625" style="0" customWidth="1"/>
    <col min="4" max="4" width="18.28125" style="0" bestFit="1" customWidth="1"/>
    <col min="5" max="5" width="5.57421875" style="0" customWidth="1"/>
    <col min="6" max="6" width="16.8515625" style="0" bestFit="1" customWidth="1"/>
    <col min="7" max="7" width="5.28125" style="0" customWidth="1"/>
    <col min="8" max="8" width="15.57421875" style="0" bestFit="1" customWidth="1"/>
  </cols>
  <sheetData>
    <row r="1" ht="12.75">
      <c r="A1" s="47" t="s">
        <v>199</v>
      </c>
    </row>
    <row r="2" ht="12.75">
      <c r="A2" s="46"/>
    </row>
    <row r="3" spans="1:9" ht="12.75">
      <c r="A3" s="105" t="s">
        <v>179</v>
      </c>
      <c r="B3" s="105"/>
      <c r="C3" s="104"/>
      <c r="D3" s="135" t="s">
        <v>33</v>
      </c>
      <c r="E3" s="135"/>
      <c r="F3" s="135" t="s">
        <v>34</v>
      </c>
      <c r="G3" s="135"/>
      <c r="H3" s="136" t="s">
        <v>145</v>
      </c>
      <c r="I3" s="104"/>
    </row>
    <row r="4" spans="1:9" ht="12.75">
      <c r="A4" s="104"/>
      <c r="B4" s="104"/>
      <c r="C4" s="104"/>
      <c r="D4" s="104"/>
      <c r="E4" s="104"/>
      <c r="F4" s="104"/>
      <c r="G4" s="104"/>
      <c r="H4" s="110"/>
      <c r="I4" s="104"/>
    </row>
    <row r="5" spans="1:9" ht="12.75">
      <c r="A5" s="148" t="s">
        <v>197</v>
      </c>
      <c r="B5" s="105"/>
      <c r="C5" s="106"/>
      <c r="D5" s="137">
        <f>F18</f>
        <v>4120400.4</v>
      </c>
      <c r="E5" s="107"/>
      <c r="F5" s="108">
        <f>D9</f>
        <v>4002183.2199999997</v>
      </c>
      <c r="G5" s="104"/>
      <c r="H5" s="108">
        <f>F9</f>
        <v>3709583.2499999995</v>
      </c>
      <c r="I5" s="104"/>
    </row>
    <row r="6" spans="1:9" ht="12.75">
      <c r="A6" s="105"/>
      <c r="B6" s="105"/>
      <c r="C6" s="104"/>
      <c r="D6" s="104"/>
      <c r="E6" s="104"/>
      <c r="F6" s="104"/>
      <c r="G6" s="104"/>
      <c r="H6" s="104"/>
      <c r="I6" s="104"/>
    </row>
    <row r="7" spans="1:9" ht="15">
      <c r="A7" s="148" t="s">
        <v>184</v>
      </c>
      <c r="B7" s="105"/>
      <c r="C7" s="104"/>
      <c r="D7" s="131">
        <f>'Income Statement'!F78</f>
        <v>118217.18</v>
      </c>
      <c r="E7" s="108"/>
      <c r="F7" s="131">
        <f>'Income Statement'!H78</f>
        <v>292599.97000000003</v>
      </c>
      <c r="G7" s="104"/>
      <c r="H7" s="131">
        <f>'Income Statement'!J78</f>
        <v>149860.21000000002</v>
      </c>
      <c r="I7" s="104"/>
    </row>
    <row r="8" spans="1:9" ht="12.75">
      <c r="A8" s="104"/>
      <c r="B8" s="104"/>
      <c r="C8" s="104"/>
      <c r="D8" s="104"/>
      <c r="E8" s="104"/>
      <c r="F8" s="104"/>
      <c r="G8" s="104"/>
      <c r="H8" s="104"/>
      <c r="I8" s="104"/>
    </row>
    <row r="9" spans="1:9" ht="15">
      <c r="A9" s="149" t="s">
        <v>180</v>
      </c>
      <c r="B9" s="105"/>
      <c r="C9" s="104"/>
      <c r="D9" s="138">
        <f>D5-D7</f>
        <v>4002183.2199999997</v>
      </c>
      <c r="E9" s="105"/>
      <c r="F9" s="138">
        <f>F5-F7</f>
        <v>3709583.2499999995</v>
      </c>
      <c r="G9" s="105"/>
      <c r="H9" s="138">
        <f>H5-H7</f>
        <v>3559723.0399999996</v>
      </c>
      <c r="I9" s="104"/>
    </row>
    <row r="10" spans="1:9" ht="12.75">
      <c r="A10" s="104"/>
      <c r="B10" s="104"/>
      <c r="C10" s="104"/>
      <c r="D10" s="104"/>
      <c r="E10" s="104"/>
      <c r="F10" s="104"/>
      <c r="G10" s="104"/>
      <c r="H10" s="110"/>
      <c r="I10" s="109"/>
    </row>
    <row r="11" spans="1:9" ht="12.75">
      <c r="A11" s="104"/>
      <c r="B11" s="104"/>
      <c r="C11" s="104"/>
      <c r="D11" s="104"/>
      <c r="E11" s="104"/>
      <c r="F11" s="104"/>
      <c r="G11" s="104"/>
      <c r="H11" s="110"/>
      <c r="I11" s="104"/>
    </row>
    <row r="12" spans="1:9" ht="12.75">
      <c r="A12" s="111" t="s">
        <v>193</v>
      </c>
      <c r="B12" s="112"/>
      <c r="C12" s="113" t="s">
        <v>181</v>
      </c>
      <c r="D12" s="114">
        <v>20250000</v>
      </c>
      <c r="E12" s="115">
        <v>0.06</v>
      </c>
      <c r="F12" s="114">
        <f>D12*E12</f>
        <v>1215000</v>
      </c>
      <c r="G12" s="116"/>
      <c r="H12" s="111"/>
      <c r="I12" s="111"/>
    </row>
    <row r="13" spans="1:9" ht="12.75">
      <c r="A13" s="111"/>
      <c r="B13" s="117"/>
      <c r="C13" s="118"/>
      <c r="D13" s="119"/>
      <c r="E13" s="120"/>
      <c r="F13" s="119"/>
      <c r="G13" s="121"/>
      <c r="H13" s="111"/>
      <c r="I13" s="111"/>
    </row>
    <row r="14" spans="1:9" ht="12.75">
      <c r="A14" s="111"/>
      <c r="B14" s="117"/>
      <c r="C14" s="122" t="s">
        <v>176</v>
      </c>
      <c r="D14" s="119">
        <v>84400000</v>
      </c>
      <c r="E14" s="120"/>
      <c r="F14" s="119"/>
      <c r="G14" s="121"/>
      <c r="H14" s="111"/>
      <c r="I14" s="111"/>
    </row>
    <row r="15" spans="1:9" ht="12.75">
      <c r="A15" s="111"/>
      <c r="B15" s="117"/>
      <c r="C15" s="122" t="s">
        <v>177</v>
      </c>
      <c r="D15" s="123">
        <v>-35976660</v>
      </c>
      <c r="E15" s="120"/>
      <c r="F15" s="119"/>
      <c r="G15" s="121"/>
      <c r="H15" s="111"/>
      <c r="I15" s="111"/>
    </row>
    <row r="16" spans="1:9" ht="15">
      <c r="A16" s="111"/>
      <c r="B16" s="124" t="s">
        <v>175</v>
      </c>
      <c r="C16" s="111" t="s">
        <v>182</v>
      </c>
      <c r="D16" s="125">
        <f>SUM(D14:D15)</f>
        <v>48423340</v>
      </c>
      <c r="E16" s="126">
        <v>0.06</v>
      </c>
      <c r="F16" s="127">
        <f>D16*E16</f>
        <v>2905400.4</v>
      </c>
      <c r="G16" s="128"/>
      <c r="H16" s="129"/>
      <c r="I16" s="111"/>
    </row>
    <row r="17" spans="1:9" ht="12.75">
      <c r="A17" s="111"/>
      <c r="B17" s="117"/>
      <c r="C17" s="111"/>
      <c r="D17" s="111"/>
      <c r="E17" s="120"/>
      <c r="F17" s="119"/>
      <c r="G17" s="121"/>
      <c r="H17" s="111"/>
      <c r="I17" s="111"/>
    </row>
    <row r="18" spans="1:9" ht="15">
      <c r="A18" s="111"/>
      <c r="B18" s="124" t="s">
        <v>178</v>
      </c>
      <c r="C18" s="111" t="s">
        <v>183</v>
      </c>
      <c r="D18" s="111"/>
      <c r="E18" s="120"/>
      <c r="F18" s="130">
        <f>SUM(F12:F16)</f>
        <v>4120400.4</v>
      </c>
      <c r="G18" s="128"/>
      <c r="H18" s="131"/>
      <c r="I18" s="111"/>
    </row>
    <row r="19" spans="1:9" ht="12.75">
      <c r="A19" s="111"/>
      <c r="B19" s="132"/>
      <c r="C19" s="133"/>
      <c r="D19" s="133"/>
      <c r="E19" s="133"/>
      <c r="F19" s="133"/>
      <c r="G19" s="134"/>
      <c r="H19" s="111"/>
      <c r="I19" s="111"/>
    </row>
    <row r="20" spans="1:9" ht="12.75">
      <c r="A20" s="104"/>
      <c r="B20" s="104"/>
      <c r="C20" s="104"/>
      <c r="D20" s="104"/>
      <c r="E20" s="104"/>
      <c r="F20" s="104"/>
      <c r="G20" s="104"/>
      <c r="H20" s="108"/>
      <c r="I20" s="104"/>
    </row>
    <row r="21" spans="1:9" ht="12.75">
      <c r="A21" s="105" t="s">
        <v>179</v>
      </c>
      <c r="B21" s="105"/>
      <c r="C21" s="104"/>
      <c r="D21" s="135" t="s">
        <v>33</v>
      </c>
      <c r="E21" s="135"/>
      <c r="F21" s="135" t="s">
        <v>34</v>
      </c>
      <c r="G21" s="135"/>
      <c r="H21" s="136" t="s">
        <v>145</v>
      </c>
      <c r="I21" s="104"/>
    </row>
    <row r="22" spans="1:9" ht="12.75">
      <c r="A22" s="104"/>
      <c r="B22" s="104"/>
      <c r="C22" s="104"/>
      <c r="D22" s="104"/>
      <c r="E22" s="104"/>
      <c r="F22" s="104"/>
      <c r="G22" s="104"/>
      <c r="H22" s="110"/>
      <c r="I22" s="104"/>
    </row>
    <row r="23" spans="1:9" ht="12.75">
      <c r="A23" s="148" t="s">
        <v>198</v>
      </c>
      <c r="B23" s="105"/>
      <c r="C23" s="106"/>
      <c r="D23" s="137">
        <f>F36</f>
        <v>3296320.32</v>
      </c>
      <c r="E23" s="107"/>
      <c r="F23" s="108">
        <f>D27</f>
        <v>3178103.1399999997</v>
      </c>
      <c r="G23" s="104"/>
      <c r="H23" s="108">
        <f>F27</f>
        <v>2885503.1699999995</v>
      </c>
      <c r="I23" s="104"/>
    </row>
    <row r="24" spans="1:8" ht="12.75">
      <c r="A24" s="105"/>
      <c r="B24" s="105"/>
      <c r="C24" s="104"/>
      <c r="D24" s="104"/>
      <c r="E24" s="104"/>
      <c r="F24" s="104"/>
      <c r="G24" s="104"/>
      <c r="H24" s="104"/>
    </row>
    <row r="25" spans="1:8" ht="15">
      <c r="A25" s="148" t="s">
        <v>184</v>
      </c>
      <c r="B25" s="105"/>
      <c r="C25" s="104"/>
      <c r="D25" s="131">
        <f>D7</f>
        <v>118217.18</v>
      </c>
      <c r="E25" s="108"/>
      <c r="F25" s="131">
        <f>F7</f>
        <v>292599.97000000003</v>
      </c>
      <c r="G25" s="104"/>
      <c r="H25" s="131">
        <f>H7</f>
        <v>149860.21000000002</v>
      </c>
    </row>
    <row r="26" spans="1:8" ht="12.75">
      <c r="A26" s="104"/>
      <c r="B26" s="104"/>
      <c r="C26" s="104"/>
      <c r="D26" s="104"/>
      <c r="E26" s="104"/>
      <c r="F26" s="104"/>
      <c r="G26" s="104"/>
      <c r="H26" s="104"/>
    </row>
    <row r="27" spans="1:8" ht="15">
      <c r="A27" s="149" t="s">
        <v>180</v>
      </c>
      <c r="B27" s="105"/>
      <c r="C27" s="104"/>
      <c r="D27" s="138">
        <f>D23-D25</f>
        <v>3178103.1399999997</v>
      </c>
      <c r="E27" s="105"/>
      <c r="F27" s="138">
        <f>F23-F25</f>
        <v>2885503.1699999995</v>
      </c>
      <c r="G27" s="105"/>
      <c r="H27" s="138">
        <f>H23-H25</f>
        <v>2735642.9599999995</v>
      </c>
    </row>
    <row r="28" spans="1:8" ht="12.75">
      <c r="A28" s="104"/>
      <c r="B28" s="104"/>
      <c r="C28" s="104"/>
      <c r="D28" s="104"/>
      <c r="E28" s="104"/>
      <c r="F28" s="104"/>
      <c r="G28" s="104"/>
      <c r="H28" s="110"/>
    </row>
    <row r="29" spans="1:8" ht="12.75">
      <c r="A29" s="104"/>
      <c r="B29" s="104"/>
      <c r="C29" s="104"/>
      <c r="D29" s="104"/>
      <c r="E29" s="104"/>
      <c r="F29" s="104"/>
      <c r="G29" s="104"/>
      <c r="H29" s="110"/>
    </row>
    <row r="30" spans="1:8" ht="12.75">
      <c r="A30" s="111" t="s">
        <v>194</v>
      </c>
      <c r="B30" s="112"/>
      <c r="C30" s="113" t="s">
        <v>195</v>
      </c>
      <c r="D30" s="114">
        <v>20250000</v>
      </c>
      <c r="E30" s="145">
        <v>0.048</v>
      </c>
      <c r="F30" s="114">
        <f>D30*E30</f>
        <v>972000</v>
      </c>
      <c r="G30" s="116"/>
      <c r="H30" s="111"/>
    </row>
    <row r="31" spans="1:8" ht="12.75">
      <c r="A31" s="111"/>
      <c r="B31" s="117"/>
      <c r="C31" s="118"/>
      <c r="D31" s="119"/>
      <c r="E31" s="120"/>
      <c r="F31" s="119"/>
      <c r="G31" s="121"/>
      <c r="H31" s="111"/>
    </row>
    <row r="32" spans="1:8" ht="12.75">
      <c r="A32" s="111"/>
      <c r="B32" s="117"/>
      <c r="C32" s="122" t="s">
        <v>176</v>
      </c>
      <c r="D32" s="119">
        <v>84400000</v>
      </c>
      <c r="E32" s="120"/>
      <c r="F32" s="119"/>
      <c r="G32" s="121"/>
      <c r="H32" s="111"/>
    </row>
    <row r="33" spans="1:8" ht="12.75">
      <c r="A33" s="111"/>
      <c r="B33" s="117"/>
      <c r="C33" s="122" t="s">
        <v>177</v>
      </c>
      <c r="D33" s="123">
        <v>-35976660</v>
      </c>
      <c r="E33" s="120"/>
      <c r="F33" s="119"/>
      <c r="G33" s="121"/>
      <c r="H33" s="111"/>
    </row>
    <row r="34" spans="1:8" ht="15">
      <c r="A34" s="111"/>
      <c r="B34" s="124" t="s">
        <v>175</v>
      </c>
      <c r="C34" s="111" t="s">
        <v>196</v>
      </c>
      <c r="D34" s="125">
        <f>SUM(D32:D33)</f>
        <v>48423340</v>
      </c>
      <c r="E34" s="144">
        <v>0.048</v>
      </c>
      <c r="F34" s="127">
        <f>D34*E34</f>
        <v>2324320.32</v>
      </c>
      <c r="G34" s="128"/>
      <c r="H34" s="129"/>
    </row>
    <row r="35" spans="1:8" ht="12.75">
      <c r="A35" s="111"/>
      <c r="B35" s="117"/>
      <c r="C35" s="111"/>
      <c r="D35" s="111"/>
      <c r="E35" s="120"/>
      <c r="F35" s="119"/>
      <c r="G35" s="121"/>
      <c r="H35" s="111"/>
    </row>
    <row r="36" spans="1:8" ht="15">
      <c r="A36" s="111"/>
      <c r="B36" s="124" t="s">
        <v>178</v>
      </c>
      <c r="C36" s="111" t="s">
        <v>183</v>
      </c>
      <c r="D36" s="111"/>
      <c r="E36" s="120"/>
      <c r="F36" s="130">
        <f>SUM(F30:F34)</f>
        <v>3296320.32</v>
      </c>
      <c r="G36" s="128"/>
      <c r="H36" s="131"/>
    </row>
    <row r="37" spans="1:8" ht="12.75">
      <c r="A37" s="111"/>
      <c r="B37" s="132"/>
      <c r="C37" s="133"/>
      <c r="D37" s="133"/>
      <c r="E37" s="133"/>
      <c r="F37" s="133"/>
      <c r="G37" s="134"/>
      <c r="H37" s="111"/>
    </row>
    <row r="38" spans="1:8" ht="12.75">
      <c r="A38" s="104"/>
      <c r="B38" s="104"/>
      <c r="C38" s="104"/>
      <c r="D38" s="104"/>
      <c r="E38" s="104"/>
      <c r="F38" s="104"/>
      <c r="G38" s="104"/>
      <c r="H38" s="108"/>
    </row>
    <row r="39" spans="1:8" ht="12.75">
      <c r="A39" s="104"/>
      <c r="B39" s="104"/>
      <c r="C39" s="104"/>
      <c r="D39" s="104"/>
      <c r="E39" s="104"/>
      <c r="F39" s="104"/>
      <c r="G39" s="104"/>
      <c r="H39" s="108"/>
    </row>
    <row r="41" spans="1:8" ht="12.75">
      <c r="A41" s="139" t="s">
        <v>188</v>
      </c>
      <c r="D41" s="140" t="s">
        <v>33</v>
      </c>
      <c r="E41" s="140"/>
      <c r="F41" s="140" t="s">
        <v>34</v>
      </c>
      <c r="G41" s="140"/>
      <c r="H41" s="140" t="s">
        <v>145</v>
      </c>
    </row>
    <row r="43" spans="1:8" ht="12.75">
      <c r="A43" s="146" t="s">
        <v>189</v>
      </c>
      <c r="B43" s="147"/>
      <c r="C43" s="147"/>
      <c r="D43" s="137">
        <f>'Income Statement'!F80</f>
        <v>1553071.1400000001</v>
      </c>
      <c r="F43" s="137">
        <f>'Income Statement'!H80</f>
        <v>5713753.4799999995</v>
      </c>
      <c r="H43" s="137">
        <f>'Income Statement'!J80</f>
        <v>7508213.46</v>
      </c>
    </row>
    <row r="45" spans="1:8" ht="15">
      <c r="A45" s="146" t="s">
        <v>190</v>
      </c>
      <c r="B45" s="147"/>
      <c r="C45" s="147"/>
      <c r="D45" s="143">
        <f>D7</f>
        <v>118217.18</v>
      </c>
      <c r="F45" s="143">
        <f>F7</f>
        <v>292599.97000000003</v>
      </c>
      <c r="H45" s="143">
        <f>H7</f>
        <v>149860.21000000002</v>
      </c>
    </row>
    <row r="47" spans="1:8" ht="12.75">
      <c r="A47" s="139" t="s">
        <v>187</v>
      </c>
      <c r="D47" s="141">
        <f>D45/D43</f>
        <v>0.07611832900326768</v>
      </c>
      <c r="F47" s="141">
        <f>F45/F43</f>
        <v>0.05120976447867332</v>
      </c>
      <c r="H47" s="141">
        <f>H45/H43</f>
        <v>0.019959503122597692</v>
      </c>
    </row>
    <row r="49" spans="4:8" ht="12.75">
      <c r="D49" s="142"/>
      <c r="F49" s="142"/>
      <c r="H49" s="142"/>
    </row>
  </sheetData>
  <sheetProtection/>
  <printOptions/>
  <pageMargins left="0.7" right="0.7" top="0.75" bottom="0.38" header="0.3" footer="0.3"/>
  <pageSetup horizontalDpi="600" verticalDpi="600" orientation="landscape" scale="80"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Ann Arbor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tcrawford</dc:creator>
  <cp:keywords/>
  <dc:description/>
  <cp:lastModifiedBy> </cp:lastModifiedBy>
  <cp:lastPrinted>2008-04-15T18:43:47Z</cp:lastPrinted>
  <dcterms:created xsi:type="dcterms:W3CDTF">2005-05-20T15:10:24Z</dcterms:created>
  <dcterms:modified xsi:type="dcterms:W3CDTF">2008-04-15T19:39:29Z</dcterms:modified>
  <cp:category/>
  <cp:version/>
  <cp:contentType/>
  <cp:contentStatus/>
</cp:coreProperties>
</file>